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IAEAP\MSEI\Calculators\2023 Calculators\"/>
    </mc:Choice>
  </mc:AlternateContent>
  <xr:revisionPtr revIDLastSave="0" documentId="8_{2059B91E-1375-4111-BE6A-6DD6BF5E8CFC}" xr6:coauthVersionLast="36" xr6:coauthVersionMax="36" xr10:uidLastSave="{00000000-0000-0000-0000-000000000000}"/>
  <bookViews>
    <workbookView xWindow="0" yWindow="0" windowWidth="19200" windowHeight="11460" xr2:uid="{00000000-000D-0000-FFFF-FFFF00000000}"/>
  </bookViews>
  <sheets>
    <sheet name="Facility Information" sheetId="1" r:id="rId1"/>
    <sheet name="Facility Processes" sheetId="2" r:id="rId2"/>
    <sheet name="Emission Calculations" sheetId="4" r:id="rId3"/>
    <sheet name="Facility Wide Emissions" sheetId="5" r:id="rId4"/>
    <sheet name="Emission Factors" sheetId="3" r:id="rId5"/>
  </sheets>
  <definedNames>
    <definedName name="apptype">'Facility Information'!$K$4:$K$5</definedName>
    <definedName name="aptype">'Facility Information'!$K$10:$K$11</definedName>
    <definedName name="CHS">'Facility Processes'!$A$9:$A$11</definedName>
    <definedName name="CHSCon">'Facility Processes'!$A$32:$A$33</definedName>
    <definedName name="CHSControl">'Emission Factors'!$A$26:$A$28</definedName>
    <definedName name="CISCon">'Facility Processes'!$A$32:$A$36</definedName>
    <definedName name="CleanHandleStore">'Emission Factors'!$A$7:$A$9</definedName>
    <definedName name="Combust">'Facility Processes'!$A$18:$A$19</definedName>
    <definedName name="Combustion">'Emission Factors'!$A$16:$A$17</definedName>
    <definedName name="Dryer">'Facility Processes'!$A$7:$A$8</definedName>
    <definedName name="Drying">'Emission Factors'!$A$5:$A$6</definedName>
    <definedName name="Employ">'Facility Information'!$K$7:$K$8</definedName>
    <definedName name="LCon">'Facility Processes'!$A$24:$A$30</definedName>
    <definedName name="LControl">'Facility Processes'!$A$24:$A$29</definedName>
    <definedName name="Load">'Facility Processes'!$A$12:$A$14</definedName>
    <definedName name="LoadCon">'Facility Processes'!$A$25:$A$30</definedName>
    <definedName name="Loading">'Facility Processes'!$A$13:$A$14</definedName>
    <definedName name="Loadout">'Emission Factors'!$A$10:$A$12</definedName>
    <definedName name="LoadoutControl">'Emission Factors'!#REF!</definedName>
    <definedName name="Oil">'Facility Processes'!$A$28:$A$29</definedName>
    <definedName name="OilCon">'Facility Processes'!$A$20:$A$21</definedName>
    <definedName name="_xlnm.Print_Area" localSheetId="1">'Facility Processes'!$B$1:$H$34,'Facility Processes'!$B$36:$J$53</definedName>
    <definedName name="RCon">'Facility Processes'!$A$23:$A$25</definedName>
    <definedName name="ReceivCon">'Facility Processes'!$A$24:$A$25</definedName>
    <definedName name="Receive">'Facility Processes'!$A$15:$A$17</definedName>
    <definedName name="ReceiveCon">'Facility Processes'!$A$24:$A$28</definedName>
    <definedName name="ReceiveControl">'Emission Factors'!#REF!</definedName>
    <definedName name="Receiving">'Emission Factors'!$A$13:$A$15</definedName>
    <definedName name="RoadCon">'Facility Processes'!$A$39</definedName>
  </definedNames>
  <calcPr calcId="191029"/>
</workbook>
</file>

<file path=xl/calcChain.xml><?xml version="1.0" encoding="utf-8"?>
<calcChain xmlns="http://schemas.openxmlformats.org/spreadsheetml/2006/main">
  <c r="H22" i="2" l="1"/>
  <c r="G54" i="4"/>
  <c r="G51" i="4"/>
  <c r="G48" i="4"/>
  <c r="G45" i="4"/>
  <c r="G42" i="4"/>
  <c r="G39" i="4"/>
  <c r="G36" i="4"/>
  <c r="G53" i="4"/>
  <c r="G50" i="4"/>
  <c r="G47" i="4"/>
  <c r="G44" i="4"/>
  <c r="G41" i="4"/>
  <c r="G38" i="4"/>
  <c r="G35" i="4"/>
  <c r="P35" i="4"/>
  <c r="G28" i="4"/>
  <c r="G27" i="4"/>
  <c r="G25" i="4"/>
  <c r="G26" i="4"/>
  <c r="G24" i="4"/>
  <c r="G23" i="4"/>
  <c r="G22" i="4"/>
  <c r="G20" i="4"/>
  <c r="G21" i="4"/>
  <c r="G19" i="4"/>
  <c r="H19" i="4"/>
  <c r="M19" i="4"/>
  <c r="N19" i="4" s="1"/>
  <c r="G14" i="4"/>
  <c r="G13" i="4"/>
  <c r="P13" i="4"/>
  <c r="G11" i="4"/>
  <c r="G12" i="4"/>
  <c r="G10" i="4"/>
  <c r="P10" i="4"/>
  <c r="G9" i="4"/>
  <c r="G8" i="4"/>
  <c r="G6" i="4"/>
  <c r="G7" i="4"/>
  <c r="G5" i="4"/>
  <c r="L54" i="4" l="1"/>
  <c r="L51" i="4"/>
  <c r="L48" i="4"/>
  <c r="L45" i="4"/>
  <c r="L42" i="4"/>
  <c r="L39" i="4"/>
  <c r="L36" i="4"/>
  <c r="O54" i="4" l="1"/>
  <c r="O53" i="4"/>
  <c r="O51" i="4"/>
  <c r="O50" i="4"/>
  <c r="O48" i="4"/>
  <c r="O47" i="4"/>
  <c r="O45" i="4"/>
  <c r="O44" i="4"/>
  <c r="O42" i="4"/>
  <c r="O41" i="4"/>
  <c r="O39" i="4"/>
  <c r="O38" i="4"/>
  <c r="O36" i="4"/>
  <c r="O35" i="4"/>
  <c r="F33" i="2" l="1"/>
  <c r="M29" i="4"/>
  <c r="M15" i="4"/>
  <c r="N15" i="4"/>
  <c r="M28" i="4"/>
  <c r="M14" i="4"/>
  <c r="M27" i="4"/>
  <c r="M13" i="4"/>
  <c r="M25" i="4"/>
  <c r="M26" i="4"/>
  <c r="M24" i="4"/>
  <c r="M10" i="4"/>
  <c r="M21" i="4"/>
  <c r="M20" i="4"/>
  <c r="M5" i="4"/>
  <c r="N5" i="4" s="1"/>
  <c r="M11" i="4"/>
  <c r="M12" i="4"/>
  <c r="M7" i="4"/>
  <c r="N7" i="4"/>
  <c r="M6" i="4"/>
  <c r="A48" i="2"/>
  <c r="A47" i="2"/>
  <c r="A44" i="2"/>
  <c r="A43" i="2"/>
  <c r="N29" i="4"/>
  <c r="E15" i="4"/>
  <c r="E29" i="4"/>
  <c r="D15" i="4"/>
  <c r="D14" i="4"/>
  <c r="D29" i="4"/>
  <c r="C29" i="4"/>
  <c r="B29" i="4"/>
  <c r="C34" i="2"/>
  <c r="C39" i="4"/>
  <c r="E43" i="2"/>
  <c r="E45" i="2" s="1"/>
  <c r="E42" i="2"/>
  <c r="I15" i="4"/>
  <c r="C37" i="1"/>
  <c r="N20" i="4"/>
  <c r="N6" i="4"/>
  <c r="O28" i="4"/>
  <c r="O14" i="4"/>
  <c r="H34" i="2"/>
  <c r="H33" i="2"/>
  <c r="F34" i="2"/>
  <c r="C33" i="2"/>
  <c r="C41" i="4" s="1"/>
  <c r="C44" i="4"/>
  <c r="B33" i="2"/>
  <c r="B35" i="4" s="1"/>
  <c r="A36" i="1"/>
  <c r="A35" i="1"/>
  <c r="A34" i="1"/>
  <c r="A33" i="1"/>
  <c r="A32" i="1"/>
  <c r="P28" i="4"/>
  <c r="L28" i="4"/>
  <c r="P51" i="4"/>
  <c r="P54" i="4"/>
  <c r="E51" i="4"/>
  <c r="F50" i="4"/>
  <c r="I51" i="4"/>
  <c r="K54" i="4"/>
  <c r="K53" i="4"/>
  <c r="K51" i="4"/>
  <c r="K50" i="4"/>
  <c r="K47" i="4"/>
  <c r="J54" i="4"/>
  <c r="I54" i="4"/>
  <c r="H54" i="4"/>
  <c r="F54" i="4"/>
  <c r="E54" i="4"/>
  <c r="D53" i="4"/>
  <c r="E53" i="4"/>
  <c r="F53" i="4"/>
  <c r="I53" i="4"/>
  <c r="P53" i="4"/>
  <c r="J51" i="4"/>
  <c r="J48" i="4"/>
  <c r="H51" i="4"/>
  <c r="F51" i="4"/>
  <c r="F47" i="4"/>
  <c r="B54" i="4"/>
  <c r="C54" i="4"/>
  <c r="D54" i="4"/>
  <c r="D51" i="4"/>
  <c r="D50" i="4"/>
  <c r="E50" i="4"/>
  <c r="D47" i="4"/>
  <c r="J47" i="4"/>
  <c r="I47" i="4"/>
  <c r="P47" i="4"/>
  <c r="C51" i="4"/>
  <c r="B51" i="4"/>
  <c r="J45" i="4"/>
  <c r="J42" i="4"/>
  <c r="J39" i="4"/>
  <c r="J36" i="4"/>
  <c r="P48" i="4"/>
  <c r="K48" i="4"/>
  <c r="I48" i="4"/>
  <c r="H48" i="4"/>
  <c r="F48" i="4"/>
  <c r="E48" i="4"/>
  <c r="D48" i="4"/>
  <c r="C48" i="4"/>
  <c r="B48" i="4"/>
  <c r="I45" i="4"/>
  <c r="K45" i="4" s="1"/>
  <c r="P45" i="4"/>
  <c r="I36" i="4"/>
  <c r="K36" i="4" s="1"/>
  <c r="I42" i="4"/>
  <c r="K42" i="4" s="1"/>
  <c r="I39" i="4"/>
  <c r="K39" i="4" s="1"/>
  <c r="B34" i="2"/>
  <c r="B45" i="4" s="1"/>
  <c r="F45" i="4"/>
  <c r="F44" i="4"/>
  <c r="D45" i="4"/>
  <c r="E45" i="4"/>
  <c r="D44" i="4"/>
  <c r="I44" i="4"/>
  <c r="K44" i="4" s="1"/>
  <c r="F42" i="4"/>
  <c r="F41" i="4"/>
  <c r="E42" i="4"/>
  <c r="D42" i="4"/>
  <c r="D41" i="4"/>
  <c r="I41" i="4"/>
  <c r="K41" i="4" s="1"/>
  <c r="J44" i="4"/>
  <c r="F39" i="4"/>
  <c r="F38" i="4"/>
  <c r="D39" i="4"/>
  <c r="D38" i="4"/>
  <c r="J41" i="4"/>
  <c r="C42" i="4"/>
  <c r="E47" i="4"/>
  <c r="J53" i="4"/>
  <c r="C45" i="4"/>
  <c r="P39" i="4"/>
  <c r="P42" i="4"/>
  <c r="H36" i="4"/>
  <c r="H39" i="4"/>
  <c r="H42" i="4"/>
  <c r="H45" i="4"/>
  <c r="E39" i="4"/>
  <c r="E44" i="4"/>
  <c r="E41" i="4"/>
  <c r="F36" i="4"/>
  <c r="F35" i="4"/>
  <c r="F19" i="4"/>
  <c r="D36" i="4"/>
  <c r="A36" i="4" s="1"/>
  <c r="D35" i="4"/>
  <c r="A35" i="4" s="1"/>
  <c r="J38" i="4"/>
  <c r="D19" i="4"/>
  <c r="I19" i="4" s="1"/>
  <c r="B19" i="4"/>
  <c r="I35" i="4"/>
  <c r="K35" i="4" s="1"/>
  <c r="J35" i="4"/>
  <c r="E36" i="4"/>
  <c r="E35" i="4"/>
  <c r="N28" i="4"/>
  <c r="H28" i="4"/>
  <c r="F28" i="4"/>
  <c r="H27" i="4"/>
  <c r="F27" i="4"/>
  <c r="D28" i="4"/>
  <c r="I28" i="4"/>
  <c r="K28" i="4" s="1"/>
  <c r="D27" i="4"/>
  <c r="I27" i="4"/>
  <c r="J27" i="4" s="1"/>
  <c r="B28" i="4"/>
  <c r="C28" i="4"/>
  <c r="C27" i="4"/>
  <c r="B27" i="4"/>
  <c r="N14" i="4"/>
  <c r="P24" i="4"/>
  <c r="H14" i="4"/>
  <c r="H13" i="4"/>
  <c r="H10" i="4"/>
  <c r="F14" i="4"/>
  <c r="F13" i="4"/>
  <c r="F10" i="4"/>
  <c r="I14" i="4"/>
  <c r="K14" i="4" s="1"/>
  <c r="D13" i="4"/>
  <c r="I13" i="4"/>
  <c r="J13" i="4" s="1"/>
  <c r="D10" i="4"/>
  <c r="I10" i="4"/>
  <c r="J10" i="4" s="1"/>
  <c r="C14" i="4"/>
  <c r="C13" i="4"/>
  <c r="B14" i="4"/>
  <c r="B13" i="4"/>
  <c r="B12" i="4"/>
  <c r="H23" i="4"/>
  <c r="H22" i="4"/>
  <c r="H8" i="4"/>
  <c r="H20" i="4"/>
  <c r="H21" i="4"/>
  <c r="H5" i="4"/>
  <c r="F23" i="4"/>
  <c r="F22" i="4"/>
  <c r="F8" i="4"/>
  <c r="F20" i="4"/>
  <c r="F21" i="4"/>
  <c r="F5" i="4"/>
  <c r="D22" i="4"/>
  <c r="E22" i="4" s="1"/>
  <c r="D23" i="4"/>
  <c r="E23" i="4"/>
  <c r="I23" i="4"/>
  <c r="K23" i="4" s="1"/>
  <c r="D8" i="4"/>
  <c r="E8" i="4" s="1"/>
  <c r="D20" i="4"/>
  <c r="I20" i="4" s="1"/>
  <c r="D21" i="4"/>
  <c r="I21" i="4" s="1"/>
  <c r="D5" i="4"/>
  <c r="I5" i="4" s="1"/>
  <c r="B23" i="4"/>
  <c r="C23" i="4"/>
  <c r="C22" i="4"/>
  <c r="B22" i="4"/>
  <c r="B8" i="4"/>
  <c r="C20" i="4"/>
  <c r="C21" i="4"/>
  <c r="C19" i="4"/>
  <c r="C5" i="4"/>
  <c r="B20" i="4"/>
  <c r="B21" i="4"/>
  <c r="B5" i="4"/>
  <c r="H9" i="4"/>
  <c r="F9" i="4"/>
  <c r="D9" i="4"/>
  <c r="I9" i="4"/>
  <c r="K9" i="4" s="1"/>
  <c r="C9" i="4"/>
  <c r="C8" i="4"/>
  <c r="B9" i="4"/>
  <c r="H6" i="4"/>
  <c r="H7" i="4"/>
  <c r="F6" i="4"/>
  <c r="F7" i="4"/>
  <c r="C7" i="4"/>
  <c r="B7" i="4"/>
  <c r="D7" i="4"/>
  <c r="E7" i="4" s="1"/>
  <c r="D6" i="4"/>
  <c r="E6" i="4" s="1"/>
  <c r="C6" i="4"/>
  <c r="B6" i="4"/>
  <c r="B50" i="4"/>
  <c r="B47" i="4"/>
  <c r="B53" i="4"/>
  <c r="B44" i="4"/>
  <c r="C50" i="4"/>
  <c r="C53" i="4"/>
  <c r="C47" i="4"/>
  <c r="L14" i="4"/>
  <c r="P14" i="4"/>
  <c r="E14" i="4"/>
  <c r="E28" i="4"/>
  <c r="P36" i="4"/>
  <c r="E27" i="4"/>
  <c r="E10" i="4"/>
  <c r="E13" i="4"/>
  <c r="E9" i="4"/>
  <c r="H21" i="2"/>
  <c r="H20" i="2"/>
  <c r="H53" i="4"/>
  <c r="H47" i="4"/>
  <c r="H50" i="4"/>
  <c r="H44" i="4"/>
  <c r="H41" i="4"/>
  <c r="H38" i="4"/>
  <c r="H35" i="4"/>
  <c r="H25" i="4"/>
  <c r="H26" i="4"/>
  <c r="H24" i="4"/>
  <c r="F25" i="4"/>
  <c r="F26" i="4"/>
  <c r="F24" i="4"/>
  <c r="L24" i="4"/>
  <c r="D25" i="4"/>
  <c r="I25" i="4"/>
  <c r="J25" i="4" s="1"/>
  <c r="D26" i="4"/>
  <c r="E26" i="4"/>
  <c r="D24" i="4"/>
  <c r="E24" i="4"/>
  <c r="C25" i="4"/>
  <c r="C26" i="4"/>
  <c r="B25" i="4"/>
  <c r="B26" i="4"/>
  <c r="C24" i="4"/>
  <c r="C10" i="4"/>
  <c r="B24" i="4"/>
  <c r="B10" i="4"/>
  <c r="H11" i="4"/>
  <c r="H12" i="4"/>
  <c r="F11" i="4"/>
  <c r="F12" i="4"/>
  <c r="D11" i="4"/>
  <c r="E11" i="4"/>
  <c r="D12" i="4"/>
  <c r="I12" i="4"/>
  <c r="J12" i="4" s="1"/>
  <c r="C11" i="4"/>
  <c r="C12" i="4"/>
  <c r="B11" i="4"/>
  <c r="E33" i="1"/>
  <c r="E34" i="1"/>
  <c r="E35" i="1"/>
  <c r="E36" i="1"/>
  <c r="E32" i="1"/>
  <c r="E25" i="4"/>
  <c r="I24" i="4"/>
  <c r="J24" i="4" s="1"/>
  <c r="I29" i="4"/>
  <c r="L35" i="4"/>
  <c r="L47" i="4"/>
  <c r="N21" i="4"/>
  <c r="B38" i="4"/>
  <c r="B41" i="4"/>
  <c r="B39" i="4"/>
  <c r="B36" i="4"/>
  <c r="P41" i="4"/>
  <c r="L41" i="4"/>
  <c r="C8" i="5"/>
  <c r="P44" i="4"/>
  <c r="C23" i="5" s="1"/>
  <c r="L44" i="4"/>
  <c r="I50" i="4"/>
  <c r="I38" i="4"/>
  <c r="K38" i="4" s="1"/>
  <c r="L53" i="4"/>
  <c r="C12" i="5"/>
  <c r="E38" i="4"/>
  <c r="J50" i="4"/>
  <c r="L27" i="4"/>
  <c r="O27" i="4"/>
  <c r="P27" i="4"/>
  <c r="L13" i="4"/>
  <c r="O13" i="4"/>
  <c r="P12" i="4"/>
  <c r="O12" i="4"/>
  <c r="L12" i="4"/>
  <c r="N12" i="4"/>
  <c r="E12" i="4"/>
  <c r="I26" i="4"/>
  <c r="K26" i="4" s="1"/>
  <c r="L25" i="4"/>
  <c r="N25" i="4"/>
  <c r="P25" i="4"/>
  <c r="O25" i="4"/>
  <c r="I11" i="4"/>
  <c r="J11" i="4" s="1"/>
  <c r="N24" i="4"/>
  <c r="O10" i="4"/>
  <c r="L10" i="4"/>
  <c r="N10" i="4"/>
  <c r="O24" i="4"/>
  <c r="E21" i="4"/>
  <c r="L9" i="4"/>
  <c r="O9" i="4"/>
  <c r="L23" i="4"/>
  <c r="O23" i="4"/>
  <c r="I22" i="4"/>
  <c r="K22" i="4" s="1"/>
  <c r="I8" i="4"/>
  <c r="C35" i="4"/>
  <c r="L50" i="4"/>
  <c r="P50" i="4"/>
  <c r="C25" i="5" s="1"/>
  <c r="P38" i="4"/>
  <c r="C21" i="5" s="1"/>
  <c r="L38" i="4"/>
  <c r="N27" i="4"/>
  <c r="N13" i="4"/>
  <c r="P26" i="4"/>
  <c r="L26" i="4"/>
  <c r="N26" i="4"/>
  <c r="O26" i="4"/>
  <c r="P11" i="4"/>
  <c r="L11" i="4"/>
  <c r="N11" i="4"/>
  <c r="O11" i="4"/>
  <c r="L8" i="4"/>
  <c r="O8" i="4" s="1"/>
  <c r="P23" i="4"/>
  <c r="N23" i="4"/>
  <c r="P9" i="4"/>
  <c r="N9" i="4"/>
  <c r="C36" i="4"/>
  <c r="C38" i="4" l="1"/>
  <c r="B42" i="4"/>
  <c r="J8" i="4"/>
  <c r="L22" i="4"/>
  <c r="O22" i="4" s="1"/>
  <c r="G5" i="2"/>
  <c r="G18" i="2"/>
  <c r="G25" i="2"/>
  <c r="G32" i="2"/>
  <c r="H12" i="2"/>
  <c r="J21" i="4"/>
  <c r="L21" i="4"/>
  <c r="O21" i="4" s="1"/>
  <c r="P21" i="4"/>
  <c r="I7" i="4"/>
  <c r="J7" i="4" s="1"/>
  <c r="J20" i="4"/>
  <c r="P20" i="4"/>
  <c r="L20" i="4"/>
  <c r="O20" i="4" s="1"/>
  <c r="I6" i="4"/>
  <c r="J6" i="4" s="1"/>
  <c r="E20" i="4"/>
  <c r="E5" i="4"/>
  <c r="E19" i="4"/>
  <c r="J5" i="4"/>
  <c r="P5" i="4"/>
  <c r="L5" i="4"/>
  <c r="O5" i="4" s="1"/>
  <c r="J19" i="4"/>
  <c r="L19" i="4"/>
  <c r="O19" i="4" s="1"/>
  <c r="P19" i="4"/>
  <c r="K19" i="4"/>
  <c r="E44" i="2"/>
  <c r="O15" i="4" s="1"/>
  <c r="K27" i="4"/>
  <c r="C24" i="5"/>
  <c r="H29" i="4"/>
  <c r="G15" i="4"/>
  <c r="P29" i="4"/>
  <c r="G29" i="4"/>
  <c r="C22" i="5"/>
  <c r="C26" i="5"/>
  <c r="C27" i="5" s="1"/>
  <c r="K24" i="4"/>
  <c r="A45" i="2"/>
  <c r="M8" i="4" s="1"/>
  <c r="N8" i="4" s="1"/>
  <c r="K15" i="4"/>
  <c r="K5" i="4"/>
  <c r="J15" i="4"/>
  <c r="J29" i="4"/>
  <c r="H15" i="4"/>
  <c r="J22" i="4"/>
  <c r="P15" i="4"/>
  <c r="C7" i="5"/>
  <c r="C11" i="5"/>
  <c r="C13" i="5" s="1"/>
  <c r="F15" i="4"/>
  <c r="A49" i="2"/>
  <c r="M23" i="4" s="1"/>
  <c r="C10" i="5"/>
  <c r="J9" i="4"/>
  <c r="C6" i="5"/>
  <c r="J14" i="4"/>
  <c r="K12" i="4"/>
  <c r="J28" i="4"/>
  <c r="K8" i="4"/>
  <c r="C20" i="5"/>
  <c r="K21" i="4"/>
  <c r="K13" i="4"/>
  <c r="K25" i="4"/>
  <c r="J26" i="4"/>
  <c r="K11" i="4"/>
  <c r="J23" i="4"/>
  <c r="F29" i="4"/>
  <c r="K10" i="4"/>
  <c r="K29" i="4"/>
  <c r="K20" i="4"/>
  <c r="H38" i="1"/>
  <c r="H39" i="2" s="1"/>
  <c r="C9" i="5"/>
  <c r="P8" i="4" l="1"/>
  <c r="M22" i="4"/>
  <c r="I39" i="2"/>
  <c r="K7" i="4"/>
  <c r="L7" i="4"/>
  <c r="O7" i="4" s="1"/>
  <c r="P7" i="4"/>
  <c r="K6" i="4"/>
  <c r="P6" i="4"/>
  <c r="L6" i="4"/>
  <c r="O6" i="4" s="1"/>
  <c r="O29" i="4"/>
  <c r="O30" i="4" s="1"/>
  <c r="L15" i="4"/>
  <c r="L29" i="4"/>
  <c r="M9" i="4"/>
  <c r="O16" i="4" l="1"/>
  <c r="C4" i="5" s="1"/>
  <c r="N22" i="4"/>
  <c r="P22" i="4"/>
  <c r="P30" i="4" s="1"/>
  <c r="C19" i="5" s="1"/>
  <c r="P16" i="4"/>
  <c r="C18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Jennifer Wittenburg</author>
  </authors>
  <commentList>
    <comment ref="K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AP-42 Tables may be found on the Emission Factors Tab.</t>
        </r>
      </text>
    </comment>
    <comment ref="K1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AP-42 Tables may be found on the Emission Factors Tab.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3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AP-42 Tables may be found on the Emission Factors Tab.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<sst xmlns="http://schemas.openxmlformats.org/spreadsheetml/2006/main" count="397" uniqueCount="186">
  <si>
    <t>GROUP 2 GRAIN ELEVATOR</t>
  </si>
  <si>
    <t>FACILITY NUMBER:</t>
  </si>
  <si>
    <t>MAILING ADDRESS:</t>
  </si>
  <si>
    <t>FACILITY CONTACT:</t>
  </si>
  <si>
    <t>PHONE NUMBER:</t>
  </si>
  <si>
    <t>FACILITY NAME:</t>
  </si>
  <si>
    <t>SIC CODE:</t>
  </si>
  <si>
    <t>NAICS CODE:</t>
  </si>
  <si>
    <t>ACTIVITY DESCRIPTION:</t>
  </si>
  <si>
    <t>Grain and Field Beans</t>
  </si>
  <si>
    <t>Year</t>
  </si>
  <si>
    <t>Process</t>
  </si>
  <si>
    <t>Storage Bin</t>
  </si>
  <si>
    <t>Internal Handling</t>
  </si>
  <si>
    <t>Grain Cleaner</t>
  </si>
  <si>
    <t>ELEVATOR THROUGHPUT RECORDS</t>
  </si>
  <si>
    <t>Receiving (Rail)</t>
  </si>
  <si>
    <t>Grain Dryer (Rack)</t>
  </si>
  <si>
    <t>Grain Dryer (Column)</t>
  </si>
  <si>
    <t>Loadout (Truck)</t>
  </si>
  <si>
    <t>Loadout (Rail)</t>
  </si>
  <si>
    <t>Loadout (Barge)</t>
  </si>
  <si>
    <t>Corn (bushels)</t>
  </si>
  <si>
    <t>Soybeans (bushels)</t>
  </si>
  <si>
    <t>Other (tons)</t>
  </si>
  <si>
    <t>Total (tons)</t>
  </si>
  <si>
    <t>Bin Vent Filters</t>
  </si>
  <si>
    <t>Telescoping Sock on Loadout</t>
  </si>
  <si>
    <t>Control Equipment</t>
  </si>
  <si>
    <t>Units</t>
  </si>
  <si>
    <t>lbs/ton</t>
  </si>
  <si>
    <t>Receiving (Hopper Truck)</t>
  </si>
  <si>
    <t>Receiving (Straight Truck)</t>
  </si>
  <si>
    <t>SO2</t>
  </si>
  <si>
    <t>Nox</t>
  </si>
  <si>
    <t>VOC</t>
  </si>
  <si>
    <t>CO</t>
  </si>
  <si>
    <t>Ammonia</t>
  </si>
  <si>
    <t>Hexane</t>
  </si>
  <si>
    <t>Formaldehyde</t>
  </si>
  <si>
    <t>lb/mmcf</t>
  </si>
  <si>
    <t>Natural Gas Combustion</t>
  </si>
  <si>
    <t>SCC #</t>
  </si>
  <si>
    <t>Efficiency</t>
  </si>
  <si>
    <t>Bagfilter</t>
  </si>
  <si>
    <t>Cyclone</t>
  </si>
  <si>
    <t xml:space="preserve">Enter the amount of each material which passed through the facilities' scale for the past 5 years. </t>
  </si>
  <si>
    <t>Max Design Rate</t>
  </si>
  <si>
    <t>EP</t>
  </si>
  <si>
    <t>EU</t>
  </si>
  <si>
    <t>Description of Process</t>
  </si>
  <si>
    <t>Emission Factor</t>
  </si>
  <si>
    <t>Potential Annual Emissions (tons/yr)</t>
  </si>
  <si>
    <t>Potential Hourly Controlled (lb/hr)</t>
  </si>
  <si>
    <t>Potential Hourly Uncontrolled (lb/hr)</t>
  </si>
  <si>
    <t>Control Efficiency</t>
  </si>
  <si>
    <t>PM2. 5</t>
  </si>
  <si>
    <t>PM10</t>
  </si>
  <si>
    <t>Actual Emissions (tons/yr)</t>
  </si>
  <si>
    <t>FACILITY-WIDE POTENTIAL EMISSIONS:</t>
  </si>
  <si>
    <t>FACILITY-WIDE ACTUAL EMISSIONS:</t>
  </si>
  <si>
    <t>Air Pollutant</t>
  </si>
  <si>
    <t>ID or CAS Number</t>
  </si>
  <si>
    <t>Tons/Yr</t>
  </si>
  <si>
    <t>PM-2.5</t>
  </si>
  <si>
    <t>PM-10</t>
  </si>
  <si>
    <t>7446-09-5</t>
  </si>
  <si>
    <t>NOx</t>
  </si>
  <si>
    <t>630-08-0</t>
  </si>
  <si>
    <t>50-00-0</t>
  </si>
  <si>
    <t>Total HAP</t>
  </si>
  <si>
    <t>Receiving</t>
  </si>
  <si>
    <t>Loadout</t>
  </si>
  <si>
    <t>Grain Dryer</t>
  </si>
  <si>
    <t>FACILITY TOTALS:</t>
  </si>
  <si>
    <t>Note: Group 2 Grain Elevators are limited to 50 tons/yr PM10</t>
  </si>
  <si>
    <t>Cleaning,Internal Handling, Storage Bins</t>
  </si>
  <si>
    <t>mmcf</t>
  </si>
  <si>
    <t>1000 Gal</t>
  </si>
  <si>
    <t>Propane Combustion</t>
  </si>
  <si>
    <t>lb/1000 gal</t>
  </si>
  <si>
    <t>110-54-3</t>
  </si>
  <si>
    <t>EMISSION YEAR:</t>
  </si>
  <si>
    <t>FACILITY ADDRESS:</t>
  </si>
  <si>
    <t>IA</t>
  </si>
  <si>
    <t>STATE:</t>
  </si>
  <si>
    <t>CITY:</t>
  </si>
  <si>
    <t>EMAIL ADDRESS:</t>
  </si>
  <si>
    <t>ZIP:</t>
  </si>
  <si>
    <t>PARENT COMPANY:</t>
  </si>
  <si>
    <t>PARENT COMPANY ADDRESS:</t>
  </si>
  <si>
    <t>PARENT COMPANY CONTACT:</t>
  </si>
  <si>
    <t>PLANT LOCATION:</t>
  </si>
  <si>
    <t>LATITUDE:</t>
  </si>
  <si>
    <t>LONGITUDE:</t>
  </si>
  <si>
    <t>Note:  Potential annual emissions are calculated using the highest grain throughput from the last five years multiplied by 1.2. (IAC 567-22.10(2)a):</t>
  </si>
  <si>
    <t>Conversions:</t>
  </si>
  <si>
    <t>56 pounds per bushel (corn)</t>
  </si>
  <si>
    <t>60 pounds per bushel (soybeans)</t>
  </si>
  <si>
    <t>2000 pounds per ton</t>
  </si>
  <si>
    <t>Emission Unit Description</t>
  </si>
  <si>
    <t>Grain Dryer Combustion Fuels</t>
  </si>
  <si>
    <t>Units of Measure</t>
  </si>
  <si>
    <t>Source of E.F.</t>
  </si>
  <si>
    <t>Tons</t>
  </si>
  <si>
    <t>Reference</t>
  </si>
  <si>
    <t>MSEI Instruction Booklet</t>
  </si>
  <si>
    <t>EMISSION FACTORS</t>
  </si>
  <si>
    <t>PM2.5</t>
  </si>
  <si>
    <t>NUMBER OF STATE-WIDE COMPANY EMPLOYEES:</t>
  </si>
  <si>
    <t>Less Than or Equal to 100</t>
  </si>
  <si>
    <t>Greater Than 100</t>
  </si>
  <si>
    <t>Unpaved Haul Roads</t>
  </si>
  <si>
    <t>Unpaved Haul Road</t>
  </si>
  <si>
    <t>Empty (Unloaded)</t>
  </si>
  <si>
    <t>Full (Loaded)</t>
  </si>
  <si>
    <t>Maximum</t>
  </si>
  <si>
    <t>Actual</t>
  </si>
  <si>
    <t>Percent of Miles that the Vehicles Travel While Empty (%):</t>
  </si>
  <si>
    <t>If vehicles travel the same distance empty and full, this number is should be entered as 50.</t>
  </si>
  <si>
    <r>
      <t xml:space="preserve">Average Vehicle Weight </t>
    </r>
    <r>
      <rPr>
        <b/>
        <sz val="8"/>
        <color indexed="8"/>
        <rFont val="Arial"/>
        <family val="2"/>
      </rPr>
      <t>(W)</t>
    </r>
    <r>
      <rPr>
        <sz val="8"/>
        <color indexed="8"/>
        <rFont val="Arial"/>
        <family val="2"/>
      </rPr>
      <t xml:space="preserve"> (tons):</t>
    </r>
  </si>
  <si>
    <t>Average weight of vehicles based on the distance traveled on site.</t>
  </si>
  <si>
    <t>Average Load Weight (tons):</t>
  </si>
  <si>
    <t>Average weight of full vehicle minus average weight of empty vehicle.</t>
  </si>
  <si>
    <t>Potential Annual One-Way Trips taken on road:</t>
  </si>
  <si>
    <t>Maximum Potential Annual Throughput divided by Average Load Weight.</t>
  </si>
  <si>
    <t>Actual Annual One-Way Trips taken on road:</t>
  </si>
  <si>
    <t>Actual Annual Throughput divided by Mean Vehicle Weight.</t>
  </si>
  <si>
    <r>
      <t>Road Surface Silt Loading (g/m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):</t>
    </r>
  </si>
  <si>
    <t>See Map - AP-42 Figure 13.2.1-2 for value.  100 may be entered as a default value.</t>
  </si>
  <si>
    <t>Grain Emission Factors from AP-42 Table 9.9.1-1 (May 2003), Natural Gas Combustion Emission Factors from AP-42 Table 1.4-1/2/3 (July 1998), Propane Combustion Emission Factors from AP-42 Table 1.5-1 (July 2008)</t>
  </si>
  <si>
    <t>&lt;---------</t>
  </si>
  <si>
    <t>Emission Factor equation from AP-42, 13.2.2: EF = [(k) x [(s/12)^0.9] x [(W/3)^0.45] ]((365-p)/365)) lb/VMT</t>
  </si>
  <si>
    <t>k=constant=1.5 for PM10 and 0.15 for PM2.5 (AP-42 Table 13.2.2-1)</t>
  </si>
  <si>
    <t>s= silt content (AP-42 Table 13.2.2-1)</t>
  </si>
  <si>
    <t>w= average vehicle weight</t>
  </si>
  <si>
    <t>p = number of days per year with at least 0.01 inches of precipitation (see map - Figure 1)</t>
  </si>
  <si>
    <t xml:space="preserve">Dust Supressant </t>
  </si>
  <si>
    <t>Dust Supressant</t>
  </si>
  <si>
    <t xml:space="preserve">Please fill in the yellow boxes as applicable for your facility. </t>
  </si>
  <si>
    <t>Days/Year with at Least 0.01 inches of Precipitation:</t>
  </si>
  <si>
    <t>Enter 8.3 for haul road to/from pit or 10 for plant road.</t>
  </si>
  <si>
    <t>Emission Factor equation from AP-42, 13.2.2 (Jan 2011): EF = [(k) x [(s/12)^0.9] x [(W/3)^0.45] ]((365-p)/365)) lb/VMT</t>
  </si>
  <si>
    <t>p = number of days per year with at least 0.01 inches of precipitation (see map - AP-42 3.2.2 Figure 1)</t>
  </si>
  <si>
    <t>Grain PTE tool</t>
  </si>
  <si>
    <t>SUBMITTAL TYPE:</t>
  </si>
  <si>
    <t>Emission Inventory - Intial</t>
  </si>
  <si>
    <t>Emission Inventory - Supplemental Information</t>
  </si>
  <si>
    <t>**As of 2016 Potential Emissions are no longer required to be reported in the Minor Source Emissions Inventory**</t>
  </si>
  <si>
    <t>Bagfilter &amp; Cyclone</t>
  </si>
  <si>
    <t>Oil after Receiving (Internal Handling)</t>
  </si>
  <si>
    <t>Oil after Receiving (Storage Bins)</t>
  </si>
  <si>
    <t>Oil after Receiving (Grain Dryer)</t>
  </si>
  <si>
    <t>Oil after Receiving (Loadout)</t>
  </si>
  <si>
    <t>Oil at Loadout</t>
  </si>
  <si>
    <t>Bin Vent Filters &amp; Oil after Receiving</t>
  </si>
  <si>
    <t>Control Equipment - Oiling</t>
  </si>
  <si>
    <t>Bagfilter &amp; Sock</t>
  </si>
  <si>
    <t>Cyclone &amp; Sock</t>
  </si>
  <si>
    <t>Formula for using more than 1 control method:  Control Efficiency = CE1 + CE2 ‐ [(CE1 x CE2) / 100] - MSEI Instruction Booklet</t>
  </si>
  <si>
    <t>Identify all controls (leave blank if N/A)</t>
  </si>
  <si>
    <t xml:space="preserve"> Control Equipment</t>
  </si>
  <si>
    <t>Facility Processes</t>
  </si>
  <si>
    <t>Permit Number:</t>
  </si>
  <si>
    <t>Enter the Year for</t>
  </si>
  <si>
    <t>which you are</t>
  </si>
  <si>
    <t>calculating emissions,</t>
  </si>
  <si>
    <t>usually the previous</t>
  </si>
  <si>
    <t>calendar year.</t>
  </si>
  <si>
    <t>Annual Throughput</t>
  </si>
  <si>
    <t xml:space="preserve">                                 Average Vehicle Weight (tons)</t>
  </si>
  <si>
    <t xml:space="preserve">            Annual Throughput (tons)</t>
  </si>
  <si>
    <t xml:space="preserve">Round Trip Length </t>
  </si>
  <si>
    <t>of Haul Road (miles)</t>
  </si>
  <si>
    <t>Emission</t>
  </si>
  <si>
    <t xml:space="preserve"> Unit #</t>
  </si>
  <si>
    <t>Point #</t>
  </si>
  <si>
    <t>Combined Maximum Hourly Design</t>
  </si>
  <si>
    <t>Rate for all Like Processes (tons/hr)</t>
  </si>
  <si>
    <t xml:space="preserve">Combined Maximum Hourly Design </t>
  </si>
  <si>
    <t>Rate for all Like Processes</t>
  </si>
  <si>
    <t>(tons/yr)</t>
  </si>
  <si>
    <t xml:space="preserve">Combined Max Hourly Rate for </t>
  </si>
  <si>
    <t>all Like Processes (tons/hr)</t>
  </si>
  <si>
    <t xml:space="preserve">      Identify all controls used for the loadout process (leave blank if N/A)</t>
  </si>
  <si>
    <t>Last Updated 2/12/24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</si>
</sst>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2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sz val="11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9" fontId="5" fillId="0" borderId="0" applyFont="0" applyFill="0" applyBorder="0" applyAlignment="0" applyProtection="0"/>
  </cellStyleXfs>
  <cellXfs count="199">
    <xf numFmtId="0" fontId="0" fillId="0" borderId="0" xfId="0"/>
    <xf numFmtId="0" fontId="1" fillId="0" borderId="1" xfId="0" applyFont="1" applyBorder="1"/>
    <xf numFmtId="0" fontId="11" fillId="0" borderId="1" xfId="0" applyFon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Alignment="1">
      <alignment horizontal="center"/>
    </xf>
    <xf numFmtId="0" fontId="13" fillId="0" borderId="0" xfId="0" applyFont="1"/>
    <xf numFmtId="0" fontId="1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0" fillId="0" borderId="5" xfId="0" applyBorder="1"/>
    <xf numFmtId="4" fontId="0" fillId="0" borderId="6" xfId="0" applyNumberFormat="1" applyBorder="1"/>
    <xf numFmtId="4" fontId="0" fillId="0" borderId="1" xfId="0" applyNumberFormat="1" applyBorder="1" applyAlignment="1">
      <alignment horizontal="center"/>
    </xf>
    <xf numFmtId="0" fontId="12" fillId="0" borderId="0" xfId="0" applyFont="1"/>
    <xf numFmtId="0" fontId="13" fillId="0" borderId="1" xfId="0" applyFont="1" applyBorder="1"/>
    <xf numFmtId="0" fontId="13" fillId="0" borderId="7" xfId="0" applyFont="1" applyBorder="1" applyAlignment="1"/>
    <xf numFmtId="0" fontId="0" fillId="0" borderId="0" xfId="0" applyAlignment="1">
      <alignment horizontal="left"/>
    </xf>
    <xf numFmtId="0" fontId="0" fillId="0" borderId="0" xfId="0"/>
    <xf numFmtId="0" fontId="2" fillId="0" borderId="0" xfId="0" applyFont="1" applyFill="1" applyBorder="1"/>
    <xf numFmtId="0" fontId="0" fillId="0" borderId="1" xfId="0" applyBorder="1"/>
    <xf numFmtId="0" fontId="0" fillId="0" borderId="0" xfId="0" applyFill="1"/>
    <xf numFmtId="0" fontId="0" fillId="0" borderId="0" xfId="0" applyBorder="1"/>
    <xf numFmtId="0" fontId="0" fillId="0" borderId="0" xfId="0" applyAlignment="1">
      <alignment horizontal="center"/>
    </xf>
    <xf numFmtId="0" fontId="11" fillId="0" borderId="0" xfId="0" applyFont="1"/>
    <xf numFmtId="0" fontId="14" fillId="0" borderId="0" xfId="0" applyFont="1"/>
    <xf numFmtId="0" fontId="0" fillId="0" borderId="1" xfId="0" applyBorder="1" applyAlignment="1">
      <alignment horizontal="center"/>
    </xf>
    <xf numFmtId="0" fontId="1" fillId="0" borderId="0" xfId="0" applyFont="1" applyBorder="1"/>
    <xf numFmtId="0" fontId="11" fillId="0" borderId="0" xfId="0" applyFont="1" applyAlignment="1">
      <alignment horizontal="center"/>
    </xf>
    <xf numFmtId="0" fontId="0" fillId="0" borderId="8" xfId="0" applyBorder="1"/>
    <xf numFmtId="2" fontId="0" fillId="0" borderId="9" xfId="0" applyNumberFormat="1" applyBorder="1"/>
    <xf numFmtId="0" fontId="0" fillId="0" borderId="10" xfId="0" applyBorder="1"/>
    <xf numFmtId="0" fontId="0" fillId="0" borderId="11" xfId="0" applyBorder="1"/>
    <xf numFmtId="2" fontId="0" fillId="0" borderId="12" xfId="0" applyNumberFormat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5" fontId="0" fillId="0" borderId="0" xfId="0" applyNumberFormat="1"/>
    <xf numFmtId="0" fontId="15" fillId="0" borderId="0" xfId="1" applyFont="1" applyAlignment="1" applyProtection="1">
      <alignment horizontal="left"/>
    </xf>
    <xf numFmtId="0" fontId="11" fillId="0" borderId="1" xfId="0" applyFont="1" applyBorder="1" applyAlignment="1">
      <alignment horizontal="center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2" borderId="1" xfId="1" applyFont="1" applyFill="1" applyBorder="1" applyAlignment="1" applyProtection="1">
      <alignment horizontal="center" vertical="center" wrapText="1"/>
    </xf>
    <xf numFmtId="3" fontId="8" fillId="0" borderId="1" xfId="1" applyNumberFormat="1" applyFont="1" applyFill="1" applyBorder="1" applyAlignment="1" applyProtection="1">
      <alignment horizontal="center" vertical="center" wrapText="1"/>
    </xf>
    <xf numFmtId="0" fontId="16" fillId="0" borderId="0" xfId="0" applyFont="1"/>
    <xf numFmtId="0" fontId="17" fillId="0" borderId="0" xfId="0" applyFont="1" applyProtection="1"/>
    <xf numFmtId="0" fontId="11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" xfId="0" applyBorder="1" applyProtection="1"/>
    <xf numFmtId="164" fontId="0" fillId="0" borderId="1" xfId="0" applyNumberFormat="1" applyBorder="1" applyAlignment="1" applyProtection="1">
      <alignment horizontal="center"/>
    </xf>
    <xf numFmtId="2" fontId="0" fillId="0" borderId="1" xfId="0" applyNumberFormat="1" applyBorder="1" applyAlignment="1" applyProtection="1">
      <alignment horizontal="center"/>
    </xf>
    <xf numFmtId="2" fontId="0" fillId="0" borderId="0" xfId="0" applyNumberFormat="1" applyAlignment="1" applyProtection="1">
      <alignment horizontal="center"/>
    </xf>
    <xf numFmtId="2" fontId="14" fillId="0" borderId="1" xfId="0" applyNumberFormat="1" applyFont="1" applyBorder="1" applyAlignment="1" applyProtection="1">
      <alignment horizontal="center"/>
    </xf>
    <xf numFmtId="2" fontId="14" fillId="0" borderId="0" xfId="0" applyNumberFormat="1" applyFont="1" applyAlignment="1" applyProtection="1">
      <alignment horizontal="center"/>
    </xf>
    <xf numFmtId="2" fontId="18" fillId="0" borderId="0" xfId="0" applyNumberFormat="1" applyFont="1" applyAlignment="1" applyProtection="1">
      <alignment horizontal="left"/>
    </xf>
    <xf numFmtId="0" fontId="14" fillId="0" borderId="1" xfId="0" applyFont="1" applyBorder="1" applyAlignment="1" applyProtection="1">
      <alignment horizontal="center"/>
    </xf>
    <xf numFmtId="0" fontId="13" fillId="3" borderId="15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4" fontId="0" fillId="3" borderId="1" xfId="0" applyNumberFormat="1" applyFill="1" applyBorder="1" applyProtection="1">
      <protection locked="0"/>
    </xf>
    <xf numFmtId="0" fontId="0" fillId="0" borderId="16" xfId="0" applyBorder="1" applyAlignment="1">
      <alignment wrapText="1"/>
    </xf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19" fillId="0" borderId="0" xfId="0" applyFont="1" applyBorder="1" applyProtection="1"/>
    <xf numFmtId="0" fontId="14" fillId="0" borderId="0" xfId="0" applyFont="1" applyAlignment="1" applyProtection="1"/>
    <xf numFmtId="0" fontId="14" fillId="0" borderId="0" xfId="0" applyFont="1" applyProtection="1"/>
    <xf numFmtId="4" fontId="0" fillId="0" borderId="0" xfId="0" applyNumberFormat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3" fontId="0" fillId="3" borderId="6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Fill="1" applyBorder="1" applyProtection="1"/>
    <xf numFmtId="0" fontId="14" fillId="0" borderId="0" xfId="0" applyFont="1" applyFill="1" applyBorder="1" applyProtection="1"/>
    <xf numFmtId="0" fontId="11" fillId="0" borderId="0" xfId="0" applyFont="1" applyBorder="1" applyProtection="1"/>
    <xf numFmtId="0" fontId="11" fillId="0" borderId="0" xfId="0" applyFont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left"/>
    </xf>
    <xf numFmtId="9" fontId="8" fillId="3" borderId="2" xfId="2" applyFont="1" applyFill="1" applyBorder="1" applyAlignment="1" applyProtection="1">
      <alignment horizontal="center" vertical="center" wrapText="1"/>
      <protection locked="0"/>
    </xf>
    <xf numFmtId="0" fontId="8" fillId="3" borderId="2" xfId="1" applyFont="1" applyFill="1" applyBorder="1" applyAlignment="1" applyProtection="1">
      <alignment horizontal="center" vertical="center" wrapText="1"/>
      <protection locked="0"/>
    </xf>
    <xf numFmtId="0" fontId="8" fillId="3" borderId="1" xfId="1" applyFont="1" applyFill="1" applyBorder="1" applyAlignment="1" applyProtection="1">
      <alignment horizontal="center"/>
      <protection locked="0"/>
    </xf>
    <xf numFmtId="4" fontId="0" fillId="0" borderId="1" xfId="0" applyNumberFormat="1" applyFill="1" applyBorder="1" applyAlignment="1" applyProtection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20" fillId="0" borderId="0" xfId="0" applyFont="1" applyProtection="1"/>
    <xf numFmtId="0" fontId="0" fillId="0" borderId="0" xfId="0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>
      <alignment horizontal="center"/>
    </xf>
    <xf numFmtId="0" fontId="11" fillId="0" borderId="2" xfId="0" applyFont="1" applyBorder="1" applyAlignment="1" applyProtection="1">
      <alignment horizontal="center" wrapText="1"/>
    </xf>
    <xf numFmtId="0" fontId="11" fillId="0" borderId="1" xfId="0" applyFont="1" applyBorder="1" applyAlignment="1" applyProtection="1">
      <alignment horizontal="center" wrapText="1"/>
    </xf>
    <xf numFmtId="0" fontId="21" fillId="0" borderId="0" xfId="0" applyFont="1"/>
    <xf numFmtId="0" fontId="13" fillId="3" borderId="1" xfId="0" applyFont="1" applyFill="1" applyBorder="1" applyAlignment="1" applyProtection="1">
      <alignment horizontal="left"/>
      <protection locked="0"/>
    </xf>
    <xf numFmtId="0" fontId="0" fillId="3" borderId="7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</xf>
    <xf numFmtId="0" fontId="24" fillId="0" borderId="0" xfId="0" applyFont="1" applyBorder="1" applyProtection="1"/>
    <xf numFmtId="0" fontId="11" fillId="0" borderId="2" xfId="0" applyFont="1" applyBorder="1" applyAlignment="1" applyProtection="1">
      <alignment horizontal="center" wrapText="1"/>
    </xf>
    <xf numFmtId="0" fontId="11" fillId="0" borderId="1" xfId="0" applyFont="1" applyBorder="1" applyAlignment="1" applyProtection="1">
      <alignment horizontal="center"/>
    </xf>
    <xf numFmtId="0" fontId="11" fillId="0" borderId="1" xfId="0" applyFont="1" applyBorder="1" applyAlignment="1" applyProtection="1">
      <alignment horizontal="center" wrapText="1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5" fillId="0" borderId="19" xfId="0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3" borderId="1" xfId="0" applyFont="1" applyFill="1" applyBorder="1" applyAlignment="1" applyProtection="1">
      <protection locked="0"/>
    </xf>
    <xf numFmtId="0" fontId="1" fillId="0" borderId="6" xfId="0" applyFont="1" applyBorder="1" applyAlignment="1">
      <alignment horizontal="left"/>
    </xf>
    <xf numFmtId="0" fontId="13" fillId="3" borderId="3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>
      <alignment horizontal="center"/>
    </xf>
    <xf numFmtId="0" fontId="13" fillId="3" borderId="3" xfId="0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1" xfId="0" applyFont="1" applyBorder="1" applyAlignment="1"/>
    <xf numFmtId="0" fontId="0" fillId="3" borderId="5" xfId="0" applyFill="1" applyBorder="1" applyProtection="1">
      <protection locked="0"/>
    </xf>
    <xf numFmtId="0" fontId="11" fillId="0" borderId="0" xfId="0" applyFont="1" applyBorder="1" applyAlignment="1"/>
    <xf numFmtId="0" fontId="13" fillId="3" borderId="15" xfId="0" applyFont="1" applyFill="1" applyBorder="1" applyAlignment="1" applyProtection="1">
      <alignment horizontal="center"/>
      <protection locked="0"/>
    </xf>
    <xf numFmtId="0" fontId="13" fillId="0" borderId="15" xfId="0" applyFont="1" applyFill="1" applyBorder="1" applyAlignment="1">
      <alignment horizontal="center"/>
    </xf>
    <xf numFmtId="0" fontId="13" fillId="3" borderId="15" xfId="0" applyFont="1" applyFill="1" applyBorder="1" applyAlignment="1" applyProtection="1">
      <alignment horizontal="left"/>
      <protection locked="0"/>
    </xf>
    <xf numFmtId="0" fontId="1" fillId="0" borderId="6" xfId="0" applyFont="1" applyFill="1" applyBorder="1" applyAlignment="1">
      <alignment horizontal="left"/>
    </xf>
    <xf numFmtId="0" fontId="13" fillId="3" borderId="3" xfId="0" applyFont="1" applyFill="1" applyBorder="1" applyAlignment="1" applyProtection="1">
      <protection locked="0"/>
    </xf>
    <xf numFmtId="0" fontId="25" fillId="3" borderId="2" xfId="0" applyFont="1" applyFill="1" applyBorder="1" applyAlignment="1" applyProtection="1">
      <protection locked="0"/>
    </xf>
    <xf numFmtId="0" fontId="0" fillId="0" borderId="1" xfId="0" applyBorder="1" applyAlignment="1">
      <alignment horizontal="left"/>
    </xf>
    <xf numFmtId="0" fontId="13" fillId="0" borderId="19" xfId="0" applyFont="1" applyBorder="1" applyAlignment="1"/>
    <xf numFmtId="0" fontId="13" fillId="0" borderId="4" xfId="0" applyFont="1" applyBorder="1" applyAlignment="1"/>
    <xf numFmtId="0" fontId="13" fillId="4" borderId="4" xfId="0" applyFont="1" applyFill="1" applyBorder="1" applyAlignment="1" applyProtection="1"/>
    <xf numFmtId="0" fontId="13" fillId="4" borderId="5" xfId="0" applyFont="1" applyFill="1" applyBorder="1" applyAlignment="1" applyProtection="1"/>
    <xf numFmtId="0" fontId="13" fillId="4" borderId="25" xfId="0" applyFont="1" applyFill="1" applyBorder="1" applyAlignment="1" applyProtection="1"/>
    <xf numFmtId="0" fontId="13" fillId="0" borderId="17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3" fillId="3" borderId="15" xfId="0" applyFont="1" applyFill="1" applyBorder="1" applyAlignment="1" applyProtection="1">
      <protection locked="0"/>
    </xf>
    <xf numFmtId="0" fontId="13" fillId="3" borderId="2" xfId="0" applyFont="1" applyFill="1" applyBorder="1" applyAlignment="1" applyProtection="1">
      <protection locked="0"/>
    </xf>
    <xf numFmtId="0" fontId="13" fillId="4" borderId="27" xfId="0" applyFont="1" applyFill="1" applyBorder="1" applyAlignment="1" applyProtection="1"/>
    <xf numFmtId="0" fontId="13" fillId="4" borderId="20" xfId="0" applyFont="1" applyFill="1" applyBorder="1" applyAlignment="1" applyProtection="1"/>
    <xf numFmtId="0" fontId="0" fillId="3" borderId="1" xfId="0" applyFill="1" applyBorder="1" applyAlignment="1" applyProtection="1"/>
    <xf numFmtId="0" fontId="22" fillId="0" borderId="0" xfId="0" applyFont="1" applyAlignment="1"/>
    <xf numFmtId="0" fontId="11" fillId="0" borderId="0" xfId="0" applyFont="1" applyAlignment="1"/>
    <xf numFmtId="0" fontId="11" fillId="0" borderId="2" xfId="0" applyFont="1" applyBorder="1" applyAlignment="1" applyProtection="1">
      <alignment horizontal="center"/>
    </xf>
    <xf numFmtId="0" fontId="0" fillId="0" borderId="0" xfId="0" applyAlignment="1"/>
    <xf numFmtId="0" fontId="0" fillId="0" borderId="23" xfId="0" applyBorder="1" applyAlignment="1"/>
    <xf numFmtId="0" fontId="11" fillId="0" borderId="25" xfId="0" applyFont="1" applyBorder="1" applyAlignment="1"/>
    <xf numFmtId="0" fontId="11" fillId="3" borderId="0" xfId="0" applyFont="1" applyFill="1" applyBorder="1" applyAlignment="1" applyProtection="1"/>
    <xf numFmtId="0" fontId="3" fillId="0" borderId="2" xfId="0" applyFont="1" applyFill="1" applyBorder="1" applyAlignment="1" applyProtection="1">
      <alignment horizontal="center" wrapText="1"/>
    </xf>
    <xf numFmtId="0" fontId="3" fillId="0" borderId="3" xfId="0" applyFont="1" applyFill="1" applyBorder="1" applyAlignment="1" applyProtection="1">
      <alignment horizontal="center" wrapText="1"/>
    </xf>
    <xf numFmtId="0" fontId="23" fillId="0" borderId="2" xfId="0" applyFont="1" applyBorder="1" applyAlignment="1" applyProtection="1">
      <alignment horizontal="center" wrapText="1"/>
    </xf>
    <xf numFmtId="0" fontId="23" fillId="0" borderId="3" xfId="0" applyFont="1" applyBorder="1" applyAlignment="1" applyProtection="1">
      <alignment horizontal="center" wrapText="1"/>
    </xf>
    <xf numFmtId="0" fontId="11" fillId="0" borderId="2" xfId="0" applyFont="1" applyBorder="1" applyAlignment="1" applyProtection="1">
      <alignment horizontal="center" wrapText="1"/>
    </xf>
    <xf numFmtId="0" fontId="11" fillId="0" borderId="3" xfId="0" applyFont="1" applyBorder="1" applyAlignment="1" applyProtection="1">
      <alignment horizontal="center" wrapText="1"/>
    </xf>
    <xf numFmtId="0" fontId="11" fillId="0" borderId="6" xfId="0" applyFont="1" applyBorder="1" applyAlignment="1" applyProtection="1">
      <alignment horizontal="center"/>
    </xf>
    <xf numFmtId="0" fontId="11" fillId="0" borderId="1" xfId="0" applyFont="1" applyBorder="1" applyAlignment="1" applyProtection="1">
      <alignment horizontal="center" wrapText="1"/>
    </xf>
    <xf numFmtId="0" fontId="11" fillId="0" borderId="20" xfId="0" applyFont="1" applyBorder="1" applyAlignment="1" applyProtection="1">
      <alignment horizontal="center" wrapText="1"/>
    </xf>
    <xf numFmtId="0" fontId="11" fillId="0" borderId="26" xfId="0" applyFont="1" applyBorder="1" applyAlignment="1" applyProtection="1">
      <alignment horizontal="center" wrapText="1"/>
    </xf>
    <xf numFmtId="0" fontId="11" fillId="0" borderId="19" xfId="0" applyFont="1" applyBorder="1" applyAlignment="1" applyProtection="1">
      <alignment horizontal="center" wrapText="1"/>
    </xf>
    <xf numFmtId="0" fontId="11" fillId="0" borderId="7" xfId="0" applyFont="1" applyBorder="1" applyAlignment="1" applyProtection="1">
      <alignment horizontal="center" wrapText="1"/>
    </xf>
    <xf numFmtId="0" fontId="11" fillId="0" borderId="1" xfId="0" applyFont="1" applyBorder="1" applyAlignment="1" applyProtection="1">
      <alignment horizontal="center"/>
    </xf>
    <xf numFmtId="0" fontId="26" fillId="0" borderId="0" xfId="0" applyFont="1"/>
    <xf numFmtId="0" fontId="8" fillId="0" borderId="0" xfId="1" applyFont="1" applyAlignment="1" applyProtection="1">
      <alignment horizontal="right"/>
    </xf>
    <xf numFmtId="0" fontId="8" fillId="0" borderId="0" xfId="1" applyFont="1" applyFill="1" applyAlignment="1" applyProtection="1">
      <alignment horizontal="right"/>
    </xf>
    <xf numFmtId="0" fontId="8" fillId="0" borderId="0" xfId="1" applyFont="1" applyFill="1" applyAlignment="1" applyProtection="1"/>
    <xf numFmtId="0" fontId="8" fillId="0" borderId="0" xfId="1" applyFont="1" applyBorder="1" applyAlignment="1" applyProtection="1">
      <alignment vertical="center" wrapText="1"/>
    </xf>
    <xf numFmtId="2" fontId="0" fillId="0" borderId="1" xfId="0" applyNumberFormat="1" applyBorder="1" applyAlignment="1" applyProtection="1">
      <alignment horizontal="right"/>
    </xf>
    <xf numFmtId="0" fontId="0" fillId="0" borderId="6" xfId="0" applyBorder="1" applyAlignment="1" applyProtection="1">
      <alignment horizontal="center"/>
    </xf>
    <xf numFmtId="2" fontId="14" fillId="0" borderId="4" xfId="0" applyNumberFormat="1" applyFont="1" applyBorder="1" applyAlignment="1" applyProtection="1">
      <alignment horizontal="center"/>
    </xf>
    <xf numFmtId="2" fontId="0" fillId="0" borderId="4" xfId="0" applyNumberFormat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11" fillId="0" borderId="21" xfId="0" applyFont="1" applyBorder="1" applyAlignment="1"/>
    <xf numFmtId="0" fontId="0" fillId="3" borderId="6" xfId="0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wrapText="1"/>
    </xf>
    <xf numFmtId="0" fontId="11" fillId="0" borderId="4" xfId="0" applyFont="1" applyBorder="1" applyAlignment="1" applyProtection="1"/>
    <xf numFmtId="0" fontId="11" fillId="0" borderId="1" xfId="0" applyFont="1" applyBorder="1" applyAlignment="1" applyProtection="1">
      <alignment horizontal="left"/>
    </xf>
    <xf numFmtId="0" fontId="11" fillId="0" borderId="6" xfId="0" applyFont="1" applyBorder="1" applyAlignment="1" applyProtection="1"/>
    <xf numFmtId="0" fontId="11" fillId="0" borderId="2" xfId="0" applyFont="1" applyFill="1" applyBorder="1" applyAlignment="1" applyProtection="1">
      <alignment horizontal="center"/>
    </xf>
    <xf numFmtId="0" fontId="11" fillId="0" borderId="3" xfId="0" applyFont="1" applyFill="1" applyBorder="1" applyAlignment="1" applyProtection="1">
      <alignment horizontal="center" wrapText="1"/>
    </xf>
    <xf numFmtId="0" fontId="11" fillId="0" borderId="2" xfId="0" applyFont="1" applyBorder="1" applyAlignment="1" applyProtection="1">
      <alignment wrapText="1"/>
    </xf>
    <xf numFmtId="0" fontId="0" fillId="0" borderId="2" xfId="0" applyBorder="1" applyProtection="1"/>
    <xf numFmtId="0" fontId="11" fillId="0" borderId="4" xfId="0" applyFont="1" applyBorder="1" applyAlignment="1" applyProtection="1">
      <alignment horizontal="left"/>
    </xf>
    <xf numFmtId="0" fontId="0" fillId="3" borderId="3" xfId="0" applyFill="1" applyBorder="1" applyProtection="1">
      <protection locked="0"/>
    </xf>
    <xf numFmtId="0" fontId="11" fillId="0" borderId="19" xfId="0" applyFont="1" applyBorder="1" applyAlignment="1" applyProtection="1">
      <alignment wrapText="1"/>
    </xf>
    <xf numFmtId="0" fontId="0" fillId="0" borderId="3" xfId="0" applyFill="1" applyBorder="1" applyAlignment="1" applyProtection="1">
      <alignment horizontal="center"/>
    </xf>
    <xf numFmtId="0" fontId="11" fillId="0" borderId="2" xfId="0" applyFont="1" applyBorder="1" applyAlignment="1" applyProtection="1"/>
    <xf numFmtId="0" fontId="11" fillId="0" borderId="3" xfId="0" applyFont="1" applyBorder="1" applyAlignment="1" applyProtection="1">
      <alignment horizontal="center"/>
    </xf>
    <xf numFmtId="0" fontId="11" fillId="0" borderId="27" xfId="0" applyFont="1" applyBorder="1" applyAlignment="1" applyProtection="1">
      <alignment horizontal="center" wrapText="1"/>
    </xf>
    <xf numFmtId="0" fontId="11" fillId="0" borderId="25" xfId="0" applyFont="1" applyBorder="1" applyAlignment="1" applyProtection="1">
      <alignment horizontal="center" wrapText="1"/>
    </xf>
    <xf numFmtId="3" fontId="0" fillId="3" borderId="3" xfId="0" applyNumberFormat="1" applyFill="1" applyBorder="1" applyAlignment="1" applyProtection="1">
      <alignment horizontal="center"/>
      <protection locked="0"/>
    </xf>
    <xf numFmtId="0" fontId="11" fillId="0" borderId="5" xfId="0" applyFont="1" applyBorder="1" applyAlignment="1" applyProtection="1"/>
    <xf numFmtId="0" fontId="8" fillId="0" borderId="0" xfId="1" applyFont="1" applyAlignment="1" applyProtection="1"/>
    <xf numFmtId="0" fontId="8" fillId="0" borderId="0" xfId="1" applyFont="1" applyAlignment="1" applyProtection="1">
      <alignment vertical="center" wrapText="1"/>
    </xf>
    <xf numFmtId="0" fontId="8" fillId="0" borderId="0" xfId="1" applyFont="1" applyBorder="1" applyAlignment="1" applyProtection="1">
      <alignment horizontal="right" vertical="center"/>
    </xf>
    <xf numFmtId="0" fontId="8" fillId="0" borderId="0" xfId="1" applyFont="1" applyAlignment="1" applyProtection="1">
      <alignment horizontal="right" vertical="center"/>
    </xf>
    <xf numFmtId="0" fontId="8" fillId="0" borderId="16" xfId="1" applyFont="1" applyBorder="1" applyAlignment="1" applyProtection="1">
      <alignment horizontal="left" vertical="center"/>
    </xf>
    <xf numFmtId="0" fontId="8" fillId="0" borderId="0" xfId="1" applyFont="1" applyBorder="1" applyAlignment="1" applyProtection="1">
      <alignment horizontal="left" vertical="center"/>
    </xf>
    <xf numFmtId="0" fontId="8" fillId="0" borderId="16" xfId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0" fontId="8" fillId="0" borderId="0" xfId="1" applyFont="1" applyFill="1" applyAlignment="1" applyProtection="1">
      <alignment horizontal="left"/>
    </xf>
    <xf numFmtId="2" fontId="0" fillId="3" borderId="3" xfId="0" applyNumberFormat="1" applyFill="1" applyBorder="1" applyAlignment="1" applyProtection="1">
      <alignment horizontal="center"/>
      <protection locked="0"/>
    </xf>
  </cellXfs>
  <cellStyles count="3">
    <cellStyle name="Normal" xfId="0" builtinId="0"/>
    <cellStyle name="Normal 2" xfId="1" xr:uid="{00000000-0005-0000-0000-000001000000}"/>
    <cellStyle name="Percent 2" xfId="2" xr:uid="{00000000-0005-0000-0000-000002000000}"/>
  </cellStyles>
  <dxfs count="6">
    <dxf>
      <fill>
        <patternFill>
          <bgColor rgb="FFFFFF9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9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9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9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9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9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abSelected="1" zoomScale="110" zoomScaleNormal="110" workbookViewId="0"/>
  </sheetViews>
  <sheetFormatPr defaultRowHeight="15" x14ac:dyDescent="0.25"/>
  <cols>
    <col min="1" max="1" width="23.42578125" style="19" customWidth="1"/>
    <col min="2" max="2" width="34.140625" style="19" customWidth="1"/>
    <col min="3" max="3" width="20.85546875" style="19" customWidth="1"/>
    <col min="4" max="4" width="16.7109375" style="19" customWidth="1"/>
    <col min="5" max="5" width="14.7109375" style="19" customWidth="1"/>
    <col min="6" max="6" width="13" style="19" customWidth="1"/>
    <col min="7" max="7" width="8.42578125" style="19" customWidth="1"/>
    <col min="8" max="8" width="19.85546875" style="19" customWidth="1"/>
    <col min="9" max="9" width="5.7109375" style="19" customWidth="1"/>
    <col min="10" max="10" width="20" style="19" customWidth="1"/>
    <col min="11" max="11" width="12.140625" style="19" hidden="1" customWidth="1"/>
    <col min="12" max="12" width="11.7109375" style="19" customWidth="1"/>
    <col min="13" max="16384" width="9.140625" style="19"/>
  </cols>
  <sheetData>
    <row r="1" spans="1:12" ht="15.75" x14ac:dyDescent="0.25">
      <c r="A1" s="138" t="s">
        <v>0</v>
      </c>
      <c r="B1" s="138"/>
    </row>
    <row r="2" spans="1:12" x14ac:dyDescent="0.25">
      <c r="A2" s="158" t="s">
        <v>185</v>
      </c>
    </row>
    <row r="3" spans="1:12" x14ac:dyDescent="0.25">
      <c r="A3" s="5"/>
    </row>
    <row r="4" spans="1:12" x14ac:dyDescent="0.25">
      <c r="A4" s="16" t="s">
        <v>145</v>
      </c>
      <c r="B4" s="122"/>
      <c r="C4" s="124" t="s">
        <v>109</v>
      </c>
      <c r="D4" s="125"/>
      <c r="E4" s="112"/>
      <c r="F4" s="137"/>
    </row>
    <row r="5" spans="1:12" ht="15" customHeight="1" x14ac:dyDescent="0.25">
      <c r="A5" s="108" t="s">
        <v>1</v>
      </c>
      <c r="B5" s="107"/>
      <c r="C5" s="127"/>
      <c r="E5" s="17" t="s">
        <v>82</v>
      </c>
      <c r="F5" s="57"/>
      <c r="G5" s="19" t="s">
        <v>131</v>
      </c>
      <c r="H5" s="86" t="s">
        <v>164</v>
      </c>
      <c r="I5" s="86"/>
      <c r="K5" s="86"/>
      <c r="L5" s="86"/>
    </row>
    <row r="6" spans="1:12" x14ac:dyDescent="0.25">
      <c r="A6" s="6" t="s">
        <v>5</v>
      </c>
      <c r="B6" s="121"/>
      <c r="C6" s="128"/>
      <c r="D6" s="126"/>
      <c r="E6" s="126"/>
      <c r="F6" s="127"/>
      <c r="G6" s="60"/>
      <c r="H6" s="86" t="s">
        <v>165</v>
      </c>
      <c r="I6" s="86"/>
      <c r="K6" s="86"/>
      <c r="L6" s="86"/>
    </row>
    <row r="7" spans="1:12" x14ac:dyDescent="0.25">
      <c r="A7" s="108" t="s">
        <v>83</v>
      </c>
      <c r="B7" s="107"/>
      <c r="C7" s="126"/>
      <c r="D7" s="126"/>
      <c r="E7" s="126"/>
      <c r="F7" s="127"/>
      <c r="H7" s="19" t="s">
        <v>166</v>
      </c>
      <c r="I7" s="86"/>
      <c r="K7" s="19" t="s">
        <v>110</v>
      </c>
    </row>
    <row r="8" spans="1:12" x14ac:dyDescent="0.25">
      <c r="A8" s="6" t="s">
        <v>86</v>
      </c>
      <c r="B8" s="133"/>
      <c r="C8" s="129" t="s">
        <v>85</v>
      </c>
      <c r="D8" s="117" t="s">
        <v>84</v>
      </c>
      <c r="E8" s="118" t="s">
        <v>88</v>
      </c>
      <c r="F8" s="119"/>
      <c r="H8" s="19" t="s">
        <v>167</v>
      </c>
      <c r="I8" s="86"/>
      <c r="K8" s="19" t="s">
        <v>111</v>
      </c>
    </row>
    <row r="9" spans="1:12" x14ac:dyDescent="0.25">
      <c r="A9" s="108" t="s">
        <v>2</v>
      </c>
      <c r="B9" s="107"/>
      <c r="C9" s="126"/>
      <c r="D9" s="126"/>
      <c r="E9" s="126"/>
      <c r="F9" s="127"/>
      <c r="H9" s="19" t="s">
        <v>168</v>
      </c>
      <c r="I9" s="86"/>
    </row>
    <row r="10" spans="1:12" x14ac:dyDescent="0.25">
      <c r="A10" s="6" t="s">
        <v>86</v>
      </c>
      <c r="B10" s="121"/>
      <c r="C10" s="130" t="s">
        <v>85</v>
      </c>
      <c r="D10" s="109"/>
      <c r="E10" s="110" t="s">
        <v>88</v>
      </c>
      <c r="F10" s="111"/>
      <c r="K10" s="19" t="s">
        <v>146</v>
      </c>
    </row>
    <row r="11" spans="1:12" x14ac:dyDescent="0.25">
      <c r="A11" s="6" t="s">
        <v>3</v>
      </c>
      <c r="B11" s="134"/>
      <c r="C11" s="131" t="s">
        <v>4</v>
      </c>
      <c r="D11" s="107"/>
      <c r="E11" s="135"/>
      <c r="F11" s="136"/>
      <c r="K11" s="19" t="s">
        <v>147</v>
      </c>
    </row>
    <row r="12" spans="1:12" x14ac:dyDescent="0.25">
      <c r="A12" s="120" t="s">
        <v>87</v>
      </c>
      <c r="B12" s="107"/>
      <c r="C12" s="126"/>
      <c r="D12" s="126"/>
      <c r="E12" s="126"/>
      <c r="F12" s="127"/>
    </row>
    <row r="13" spans="1:12" x14ac:dyDescent="0.25">
      <c r="A13" s="120" t="s">
        <v>89</v>
      </c>
      <c r="B13" s="107"/>
      <c r="C13" s="126"/>
      <c r="D13" s="126"/>
      <c r="E13" s="126"/>
      <c r="F13" s="127"/>
    </row>
    <row r="14" spans="1:12" x14ac:dyDescent="0.25">
      <c r="A14" s="120" t="s">
        <v>90</v>
      </c>
      <c r="B14" s="107"/>
      <c r="C14" s="126"/>
      <c r="D14" s="126"/>
      <c r="E14" s="126"/>
      <c r="F14" s="127"/>
    </row>
    <row r="15" spans="1:12" x14ac:dyDescent="0.25">
      <c r="A15" s="6" t="s">
        <v>86</v>
      </c>
      <c r="B15" s="111"/>
      <c r="C15" s="130" t="s">
        <v>85</v>
      </c>
      <c r="D15" s="109"/>
      <c r="E15" s="110" t="s">
        <v>88</v>
      </c>
      <c r="F15" s="111"/>
    </row>
    <row r="16" spans="1:12" x14ac:dyDescent="0.25">
      <c r="A16" s="8" t="s">
        <v>91</v>
      </c>
      <c r="B16" s="91"/>
      <c r="C16" s="132" t="s">
        <v>4</v>
      </c>
      <c r="D16" s="107"/>
      <c r="E16" s="126"/>
      <c r="F16" s="127"/>
    </row>
    <row r="17" spans="1:10" x14ac:dyDescent="0.25">
      <c r="A17" s="10"/>
      <c r="D17" s="18"/>
      <c r="I17" s="22"/>
      <c r="J17" s="22"/>
    </row>
    <row r="18" spans="1:10" x14ac:dyDescent="0.25">
      <c r="A18" s="9" t="s">
        <v>92</v>
      </c>
    </row>
    <row r="19" spans="1:10" x14ac:dyDescent="0.25">
      <c r="A19" s="7" t="s">
        <v>93</v>
      </c>
      <c r="B19" s="112"/>
      <c r="C19" s="7" t="s">
        <v>94</v>
      </c>
      <c r="D19" s="112"/>
      <c r="E19" s="113"/>
    </row>
    <row r="20" spans="1:10" x14ac:dyDescent="0.25">
      <c r="C20" s="46"/>
    </row>
    <row r="21" spans="1:10" x14ac:dyDescent="0.25">
      <c r="A21" s="1" t="s">
        <v>6</v>
      </c>
      <c r="B21" s="123">
        <v>5153</v>
      </c>
    </row>
    <row r="22" spans="1:10" x14ac:dyDescent="0.25">
      <c r="A22" s="1" t="s">
        <v>7</v>
      </c>
      <c r="B22" s="123">
        <v>424510</v>
      </c>
    </row>
    <row r="23" spans="1:10" x14ac:dyDescent="0.25">
      <c r="A23" s="1" t="s">
        <v>8</v>
      </c>
      <c r="B23" s="21" t="s">
        <v>9</v>
      </c>
    </row>
    <row r="24" spans="1:10" x14ac:dyDescent="0.25">
      <c r="A24" s="28"/>
      <c r="B24" s="23"/>
    </row>
    <row r="25" spans="1:10" x14ac:dyDescent="0.25">
      <c r="A25" s="114" t="s">
        <v>163</v>
      </c>
      <c r="B25" s="115"/>
    </row>
    <row r="26" spans="1:10" x14ac:dyDescent="0.25">
      <c r="B26" s="116"/>
    </row>
    <row r="27" spans="1:10" x14ac:dyDescent="0.25">
      <c r="A27" s="11"/>
      <c r="B27" s="11"/>
    </row>
    <row r="29" spans="1:10" ht="15.75" x14ac:dyDescent="0.25">
      <c r="A29" s="20" t="s">
        <v>15</v>
      </c>
    </row>
    <row r="30" spans="1:10" ht="15.75" x14ac:dyDescent="0.25">
      <c r="A30" s="3" t="s">
        <v>46</v>
      </c>
    </row>
    <row r="31" spans="1:10" x14ac:dyDescent="0.25">
      <c r="A31" s="39" t="s">
        <v>10</v>
      </c>
      <c r="B31" s="39" t="s">
        <v>22</v>
      </c>
      <c r="C31" s="39" t="s">
        <v>23</v>
      </c>
      <c r="D31" s="2" t="s">
        <v>24</v>
      </c>
      <c r="E31" s="2" t="s">
        <v>25</v>
      </c>
    </row>
    <row r="32" spans="1:10" x14ac:dyDescent="0.25">
      <c r="A32" s="27" t="str">
        <f>IF(F5="",(" "),F5)</f>
        <v xml:space="preserve"> </v>
      </c>
      <c r="B32" s="59"/>
      <c r="C32" s="59"/>
      <c r="D32" s="59"/>
      <c r="E32" s="14">
        <f>B32*56/2000+C32*60/2000+D32</f>
        <v>0</v>
      </c>
      <c r="F32" s="19" t="s">
        <v>96</v>
      </c>
      <c r="G32" s="19" t="s">
        <v>97</v>
      </c>
    </row>
    <row r="33" spans="1:9" x14ac:dyDescent="0.25">
      <c r="A33" s="27" t="str">
        <f>IF(F5="",(" "),F5-1)</f>
        <v xml:space="preserve"> </v>
      </c>
      <c r="B33" s="59"/>
      <c r="C33" s="59"/>
      <c r="D33" s="59"/>
      <c r="E33" s="14">
        <f>B33*56/2000+C33*60/2000+D33</f>
        <v>0</v>
      </c>
      <c r="G33" s="19" t="s">
        <v>98</v>
      </c>
    </row>
    <row r="34" spans="1:9" x14ac:dyDescent="0.25">
      <c r="A34" s="27" t="str">
        <f>IF(F5="",(" "),F5-2)</f>
        <v xml:space="preserve"> </v>
      </c>
      <c r="B34" s="59"/>
      <c r="C34" s="59"/>
      <c r="D34" s="59"/>
      <c r="E34" s="14">
        <f>B34*56/2000+C34*60/2000+D34</f>
        <v>0</v>
      </c>
      <c r="G34" s="19" t="s">
        <v>99</v>
      </c>
    </row>
    <row r="35" spans="1:9" x14ac:dyDescent="0.25">
      <c r="A35" s="27" t="str">
        <f>IF(F5="",(" "),F5-3)</f>
        <v xml:space="preserve"> </v>
      </c>
      <c r="B35" s="59"/>
      <c r="C35" s="59"/>
      <c r="D35" s="59"/>
      <c r="E35" s="14">
        <f>B35*56/2000+C35*60/2000+D35</f>
        <v>0</v>
      </c>
    </row>
    <row r="36" spans="1:9" x14ac:dyDescent="0.25">
      <c r="A36" s="27" t="str">
        <f>IF(F5="",(" "),F5-4)</f>
        <v xml:space="preserve"> </v>
      </c>
      <c r="B36" s="59"/>
      <c r="C36" s="59"/>
      <c r="D36" s="59"/>
      <c r="E36" s="14">
        <f>B36*56/2000+C36*60/2000+D36</f>
        <v>0</v>
      </c>
    </row>
    <row r="37" spans="1:9" x14ac:dyDescent="0.25">
      <c r="C37" s="139" t="str">
        <f>IF(D32&gt;0,"Other, please specify material type:",IF(D33&gt;0,"Other, please specify material type:",IF(D34&gt;0,"Other, please specify material type:",IF(D35&gt;0,"Other, please specify material type:",IF(D36&gt;0,"Other, please specify material type:","")))))</f>
        <v/>
      </c>
      <c r="D37" s="139"/>
      <c r="E37" s="83"/>
    </row>
    <row r="38" spans="1:9" x14ac:dyDescent="0.25">
      <c r="A38" s="19" t="s">
        <v>95</v>
      </c>
      <c r="F38" s="29"/>
      <c r="H38" s="13">
        <f>MAX(E32:E36)*1.2</f>
        <v>0</v>
      </c>
      <c r="I38" s="12" t="s">
        <v>104</v>
      </c>
    </row>
  </sheetData>
  <sheetProtection algorithmName="SHA-512" hashValue="ATdVg8XE3XaB590GvbEzuYdTLdlrSvMDn/2gdA+dPd1XOIOIDwyHhWpIihClB/axprfCy8ee0TQXkQnQKoa6bw==" saltValue="HVj8/lmbign6HU8mvEB51Q==" spinCount="100000" sheet="1" objects="1" scenarios="1"/>
  <conditionalFormatting sqref="E37">
    <cfRule type="cellIs" dxfId="5" priority="47" stopIfTrue="1" operator="notEqual">
      <formula>$C$37</formula>
    </cfRule>
  </conditionalFormatting>
  <dataValidations count="2">
    <dataValidation type="list" allowBlank="1" showInputMessage="1" showErrorMessage="1" sqref="E4:F4" xr:uid="{00000000-0002-0000-0000-000000000000}">
      <formula1>Employ</formula1>
    </dataValidation>
    <dataValidation type="list" allowBlank="1" showInputMessage="1" showErrorMessage="1" sqref="B4" xr:uid="{00000000-0002-0000-0000-000001000000}">
      <formula1>aptype</formula1>
    </dataValidation>
  </dataValidations>
  <pageMargins left="0.25" right="0.25" top="0.75" bottom="0.75" header="0.3" footer="0.3"/>
  <pageSetup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3"/>
  <sheetViews>
    <sheetView topLeftCell="B1" workbookViewId="0">
      <selection activeCell="B1" sqref="B1"/>
    </sheetView>
  </sheetViews>
  <sheetFormatPr defaultRowHeight="15" x14ac:dyDescent="0.25"/>
  <cols>
    <col min="1" max="1" width="35.28515625" style="61" hidden="1" customWidth="1"/>
    <col min="2" max="2" width="9.42578125" style="61" customWidth="1"/>
    <col min="3" max="3" width="9" style="61" customWidth="1"/>
    <col min="4" max="4" width="25.140625" style="61" customWidth="1"/>
    <col min="5" max="5" width="36.140625" style="61" customWidth="1"/>
    <col min="6" max="6" width="34.140625" style="62" customWidth="1"/>
    <col min="7" max="7" width="28.140625" style="61" customWidth="1"/>
    <col min="8" max="8" width="22.85546875" style="61" customWidth="1"/>
    <col min="9" max="9" width="15.42578125" style="61" customWidth="1"/>
    <col min="10" max="10" width="20.42578125" style="61" customWidth="1"/>
    <col min="11" max="16384" width="9.140625" style="61"/>
  </cols>
  <sheetData>
    <row r="1" spans="1:8" ht="21" x14ac:dyDescent="0.35">
      <c r="B1" s="94" t="s">
        <v>162</v>
      </c>
    </row>
    <row r="2" spans="1:8" s="74" customFormat="1" x14ac:dyDescent="0.25">
      <c r="B2" s="144" t="s">
        <v>139</v>
      </c>
      <c r="C2" s="144"/>
      <c r="D2" s="144"/>
      <c r="E2" s="144"/>
      <c r="F2" s="75"/>
    </row>
    <row r="3" spans="1:8" s="74" customFormat="1" x14ac:dyDescent="0.25">
      <c r="B3" s="76"/>
      <c r="C3" s="76"/>
      <c r="D3" s="76"/>
      <c r="E3" s="76"/>
      <c r="F3" s="75"/>
    </row>
    <row r="4" spans="1:8" ht="15.75" x14ac:dyDescent="0.25">
      <c r="B4" s="63" t="s">
        <v>71</v>
      </c>
    </row>
    <row r="5" spans="1:8" ht="15" customHeight="1" x14ac:dyDescent="0.25">
      <c r="B5" s="145" t="s">
        <v>174</v>
      </c>
      <c r="C5" s="147" t="s">
        <v>174</v>
      </c>
      <c r="D5" s="181"/>
      <c r="E5" s="89" t="s">
        <v>160</v>
      </c>
      <c r="F5" s="153" t="s">
        <v>177</v>
      </c>
      <c r="G5" s="149" t="str">
        <f>'Facility Information'!A32&amp;" Annual Throughput"</f>
        <v xml:space="preserve">  Annual Throughput</v>
      </c>
    </row>
    <row r="6" spans="1:8" x14ac:dyDescent="0.25">
      <c r="B6" s="146" t="s">
        <v>176</v>
      </c>
      <c r="C6" s="148" t="s">
        <v>175</v>
      </c>
      <c r="D6" s="156" t="s">
        <v>100</v>
      </c>
      <c r="E6" s="89" t="s">
        <v>161</v>
      </c>
      <c r="F6" s="154" t="s">
        <v>178</v>
      </c>
      <c r="G6" s="150" t="s">
        <v>181</v>
      </c>
    </row>
    <row r="7" spans="1:8" x14ac:dyDescent="0.25">
      <c r="A7" s="46" t="s">
        <v>18</v>
      </c>
      <c r="B7" s="67"/>
      <c r="C7" s="67"/>
      <c r="D7" s="58"/>
      <c r="E7" s="58"/>
      <c r="F7" s="67"/>
      <c r="G7" s="68"/>
    </row>
    <row r="8" spans="1:8" x14ac:dyDescent="0.25">
      <c r="A8" s="46" t="s">
        <v>17</v>
      </c>
      <c r="B8" s="67"/>
      <c r="C8" s="67"/>
      <c r="D8" s="58"/>
      <c r="E8" s="58"/>
      <c r="F8" s="67"/>
      <c r="G8" s="68"/>
    </row>
    <row r="9" spans="1:8" x14ac:dyDescent="0.25">
      <c r="A9" s="46" t="s">
        <v>14</v>
      </c>
      <c r="B9" s="67"/>
      <c r="C9" s="67"/>
      <c r="D9" s="58"/>
      <c r="E9" s="58"/>
      <c r="F9" s="67"/>
      <c r="G9" s="68"/>
    </row>
    <row r="10" spans="1:8" x14ac:dyDescent="0.25">
      <c r="A10" s="46" t="s">
        <v>13</v>
      </c>
    </row>
    <row r="11" spans="1:8" ht="15.75" x14ac:dyDescent="0.25">
      <c r="A11" s="46" t="s">
        <v>12</v>
      </c>
      <c r="B11" s="63" t="s">
        <v>72</v>
      </c>
    </row>
    <row r="12" spans="1:8" ht="15" customHeight="1" x14ac:dyDescent="0.25">
      <c r="A12" s="46" t="s">
        <v>21</v>
      </c>
      <c r="B12" s="145" t="s">
        <v>174</v>
      </c>
      <c r="C12" s="147" t="s">
        <v>174</v>
      </c>
      <c r="D12" s="181"/>
      <c r="E12" s="174" t="s">
        <v>184</v>
      </c>
      <c r="F12" s="188"/>
      <c r="G12" s="155" t="s">
        <v>182</v>
      </c>
      <c r="H12" s="177" t="str">
        <f>'Facility Information'!A32&amp;" Annual Throughput"</f>
        <v xml:space="preserve">  Annual Throughput</v>
      </c>
    </row>
    <row r="13" spans="1:8" x14ac:dyDescent="0.25">
      <c r="A13" s="46" t="s">
        <v>20</v>
      </c>
      <c r="B13" s="146" t="s">
        <v>176</v>
      </c>
      <c r="C13" s="148" t="s">
        <v>175</v>
      </c>
      <c r="D13" s="156" t="s">
        <v>100</v>
      </c>
      <c r="E13" s="88" t="s">
        <v>28</v>
      </c>
      <c r="F13" s="88" t="s">
        <v>156</v>
      </c>
      <c r="G13" s="156" t="s">
        <v>183</v>
      </c>
      <c r="H13" s="150" t="s">
        <v>181</v>
      </c>
    </row>
    <row r="14" spans="1:8" x14ac:dyDescent="0.25">
      <c r="A14" s="46" t="s">
        <v>19</v>
      </c>
      <c r="B14" s="67"/>
      <c r="C14" s="67"/>
      <c r="D14" s="58"/>
      <c r="E14" s="58"/>
      <c r="F14" s="58"/>
      <c r="G14" s="169"/>
      <c r="H14" s="187"/>
    </row>
    <row r="15" spans="1:8" x14ac:dyDescent="0.25">
      <c r="A15" s="46" t="s">
        <v>31</v>
      </c>
      <c r="B15" s="67"/>
      <c r="C15" s="67"/>
      <c r="D15" s="58"/>
      <c r="E15" s="58"/>
      <c r="F15" s="58"/>
      <c r="G15" s="169"/>
      <c r="H15" s="68"/>
    </row>
    <row r="16" spans="1:8" x14ac:dyDescent="0.25">
      <c r="A16" s="46" t="s">
        <v>16</v>
      </c>
    </row>
    <row r="17" spans="1:8" ht="15.75" x14ac:dyDescent="0.25">
      <c r="A17" s="46" t="s">
        <v>32</v>
      </c>
      <c r="B17" s="63" t="s">
        <v>76</v>
      </c>
    </row>
    <row r="18" spans="1:8" ht="15" customHeight="1" x14ac:dyDescent="0.25">
      <c r="A18" s="46" t="s">
        <v>41</v>
      </c>
      <c r="B18" s="145" t="s">
        <v>174</v>
      </c>
      <c r="C18" s="147" t="s">
        <v>174</v>
      </c>
      <c r="D18" s="181"/>
      <c r="E18" s="89" t="s">
        <v>160</v>
      </c>
      <c r="F18" s="153" t="s">
        <v>177</v>
      </c>
      <c r="G18" s="149" t="str">
        <f>'Facility Information'!A32&amp;" Annual Throughput"</f>
        <v xml:space="preserve">  Annual Throughput</v>
      </c>
      <c r="H18" s="171"/>
    </row>
    <row r="19" spans="1:8" x14ac:dyDescent="0.25">
      <c r="A19" s="46" t="s">
        <v>79</v>
      </c>
      <c r="B19" s="146" t="s">
        <v>176</v>
      </c>
      <c r="C19" s="148" t="s">
        <v>175</v>
      </c>
      <c r="D19" s="156" t="s">
        <v>100</v>
      </c>
      <c r="E19" s="89" t="s">
        <v>161</v>
      </c>
      <c r="F19" s="154" t="s">
        <v>178</v>
      </c>
      <c r="G19" s="150" t="s">
        <v>181</v>
      </c>
      <c r="H19" s="171"/>
    </row>
    <row r="20" spans="1:8" x14ac:dyDescent="0.25">
      <c r="A20" s="72" t="s">
        <v>154</v>
      </c>
      <c r="B20" s="67"/>
      <c r="C20" s="67"/>
      <c r="D20" s="58"/>
      <c r="E20" s="92"/>
      <c r="F20" s="67"/>
      <c r="G20" s="68"/>
      <c r="H20" s="61" t="str">
        <f>IF(D20="Grain Dryer (Column)","yes",IF(D20="Grain Dryer (Rack)","yes",""))</f>
        <v/>
      </c>
    </row>
    <row r="21" spans="1:8" x14ac:dyDescent="0.25">
      <c r="A21" s="72" t="s">
        <v>153</v>
      </c>
      <c r="B21" s="67"/>
      <c r="C21" s="67"/>
      <c r="D21" s="58"/>
      <c r="E21" s="69"/>
      <c r="F21" s="67"/>
      <c r="G21" s="68"/>
      <c r="H21" s="61" t="str">
        <f>IF(D21="Grain Dryer (Column)","yes",IF(D21="Grain Dryer (Rack)","yes",""))</f>
        <v/>
      </c>
    </row>
    <row r="22" spans="1:8" x14ac:dyDescent="0.25">
      <c r="B22" s="67"/>
      <c r="C22" s="67"/>
      <c r="D22" s="58"/>
      <c r="E22" s="69"/>
      <c r="F22" s="67"/>
      <c r="G22" s="68"/>
      <c r="H22" s="61" t="str">
        <f>IF(D22="Grain Dryer (Column)","yes",IF(D22="Grain Dryer (Rack)","yes",""))</f>
        <v/>
      </c>
    </row>
    <row r="23" spans="1:8" x14ac:dyDescent="0.25">
      <c r="A23" s="61" t="s">
        <v>149</v>
      </c>
    </row>
    <row r="24" spans="1:8" ht="15.75" x14ac:dyDescent="0.25">
      <c r="A24" s="64" t="s">
        <v>44</v>
      </c>
      <c r="B24" s="63" t="s">
        <v>73</v>
      </c>
    </row>
    <row r="25" spans="1:8" ht="15" customHeight="1" x14ac:dyDescent="0.25">
      <c r="A25" s="64" t="s">
        <v>45</v>
      </c>
      <c r="B25" s="145" t="s">
        <v>174</v>
      </c>
      <c r="C25" s="147" t="s">
        <v>174</v>
      </c>
      <c r="D25" s="181"/>
      <c r="E25" s="89" t="s">
        <v>160</v>
      </c>
      <c r="F25" s="185" t="s">
        <v>177</v>
      </c>
      <c r="G25" s="140" t="str">
        <f>'Facility Information'!A32&amp;" Annual Throughput"</f>
        <v xml:space="preserve">  Annual Throughput</v>
      </c>
    </row>
    <row r="26" spans="1:8" x14ac:dyDescent="0.25">
      <c r="A26" s="64" t="s">
        <v>27</v>
      </c>
      <c r="B26" s="146" t="s">
        <v>176</v>
      </c>
      <c r="C26" s="148" t="s">
        <v>175</v>
      </c>
      <c r="D26" s="156" t="s">
        <v>100</v>
      </c>
      <c r="E26" s="89" t="s">
        <v>161</v>
      </c>
      <c r="F26" s="186" t="s">
        <v>178</v>
      </c>
      <c r="G26" s="150" t="s">
        <v>181</v>
      </c>
    </row>
    <row r="27" spans="1:8" x14ac:dyDescent="0.25">
      <c r="A27" s="64" t="s">
        <v>149</v>
      </c>
      <c r="B27" s="67"/>
      <c r="C27" s="67"/>
      <c r="D27" s="58"/>
      <c r="E27" s="67"/>
      <c r="F27" s="67"/>
      <c r="G27" s="187"/>
    </row>
    <row r="28" spans="1:8" x14ac:dyDescent="0.25">
      <c r="A28" s="64" t="s">
        <v>157</v>
      </c>
      <c r="B28" s="67"/>
      <c r="C28" s="67"/>
      <c r="D28" s="58"/>
      <c r="E28" s="67"/>
      <c r="F28" s="67"/>
      <c r="G28" s="68"/>
    </row>
    <row r="29" spans="1:8" x14ac:dyDescent="0.25">
      <c r="A29" s="64" t="s">
        <v>158</v>
      </c>
    </row>
    <row r="30" spans="1:8" ht="15.75" x14ac:dyDescent="0.25">
      <c r="B30" s="63" t="s">
        <v>101</v>
      </c>
    </row>
    <row r="31" spans="1:8" ht="15" customHeight="1" x14ac:dyDescent="0.25">
      <c r="B31" s="145" t="s">
        <v>174</v>
      </c>
      <c r="C31" s="147" t="s">
        <v>174</v>
      </c>
      <c r="D31" s="181"/>
      <c r="E31" s="149" t="s">
        <v>179</v>
      </c>
      <c r="F31" s="183"/>
      <c r="G31" s="185"/>
      <c r="H31" s="178"/>
    </row>
    <row r="32" spans="1:8" x14ac:dyDescent="0.25">
      <c r="A32" s="65" t="s">
        <v>45</v>
      </c>
      <c r="B32" s="146" t="s">
        <v>176</v>
      </c>
      <c r="C32" s="148" t="s">
        <v>175</v>
      </c>
      <c r="D32" s="156" t="s">
        <v>100</v>
      </c>
      <c r="E32" s="150" t="s">
        <v>180</v>
      </c>
      <c r="F32" s="184" t="s">
        <v>102</v>
      </c>
      <c r="G32" s="186" t="str">
        <f>'Facility Information'!A32&amp;" Anuual Throughput"</f>
        <v xml:space="preserve">  Anuual Throughput</v>
      </c>
      <c r="H32" s="150" t="s">
        <v>102</v>
      </c>
    </row>
    <row r="33" spans="1:10" x14ac:dyDescent="0.25">
      <c r="A33" s="65" t="s">
        <v>150</v>
      </c>
      <c r="B33" s="67" t="str">
        <f>IF(B27="","",B27)</f>
        <v/>
      </c>
      <c r="C33" s="67" t="str">
        <f>IF(C27="","",C27)</f>
        <v/>
      </c>
      <c r="D33" s="58"/>
      <c r="E33" s="67"/>
      <c r="F33" s="182" t="str">
        <f>IF(D33="","",LOOKUP(D33,'Emission Factors'!$A$16:$A$17,'Emission Factors'!$C$16:$C$17)&amp;"/hr")</f>
        <v/>
      </c>
      <c r="G33" s="170"/>
      <c r="H33" s="182" t="str">
        <f>IF(D33="","",LOOKUP(D33,'Emission Factors'!$A$16:$A$17,'Emission Factors'!$C$16:$C$17)&amp;"/yr")</f>
        <v/>
      </c>
    </row>
    <row r="34" spans="1:10" x14ac:dyDescent="0.25">
      <c r="A34" s="65" t="s">
        <v>26</v>
      </c>
      <c r="B34" s="67" t="str">
        <f>IF(B28="","",B28)</f>
        <v/>
      </c>
      <c r="C34" s="67" t="str">
        <f>IF(C28="","",C28)</f>
        <v/>
      </c>
      <c r="D34" s="58"/>
      <c r="E34" s="67"/>
      <c r="F34" s="93" t="str">
        <f>IF(D34="","",LOOKUP(D34,'Emission Factors'!$A$16:$A$17,'Emission Factors'!$C$16:$C$17)&amp;"/hr")</f>
        <v/>
      </c>
      <c r="G34" s="71"/>
      <c r="H34" s="93" t="str">
        <f>IF(D34="","",LOOKUP(D34,'Emission Factors'!$A$16:$A$17,'Emission Factors'!$C$16:$C$17)&amp;"/yr")</f>
        <v/>
      </c>
    </row>
    <row r="35" spans="1:10" x14ac:dyDescent="0.25">
      <c r="A35" s="73" t="s">
        <v>151</v>
      </c>
      <c r="G35" s="66"/>
    </row>
    <row r="36" spans="1:10" ht="15.75" x14ac:dyDescent="0.25">
      <c r="A36" s="73" t="s">
        <v>155</v>
      </c>
      <c r="B36" s="63" t="s">
        <v>112</v>
      </c>
    </row>
    <row r="37" spans="1:10" ht="15" customHeight="1" x14ac:dyDescent="0.25">
      <c r="B37" s="145" t="s">
        <v>174</v>
      </c>
      <c r="C37" s="147" t="s">
        <v>174</v>
      </c>
      <c r="D37" s="181"/>
      <c r="E37" s="178"/>
      <c r="F37" s="179" t="s">
        <v>170</v>
      </c>
      <c r="G37" s="172"/>
      <c r="H37" s="173" t="s">
        <v>171</v>
      </c>
      <c r="I37" s="174"/>
      <c r="J37" s="175" t="s">
        <v>172</v>
      </c>
    </row>
    <row r="38" spans="1:10" x14ac:dyDescent="0.25">
      <c r="B38" s="146" t="s">
        <v>176</v>
      </c>
      <c r="C38" s="148" t="s">
        <v>175</v>
      </c>
      <c r="D38" s="156" t="s">
        <v>100</v>
      </c>
      <c r="E38" s="150" t="s">
        <v>28</v>
      </c>
      <c r="F38" s="154" t="s">
        <v>114</v>
      </c>
      <c r="G38" s="156" t="s">
        <v>115</v>
      </c>
      <c r="H38" s="157" t="s">
        <v>116</v>
      </c>
      <c r="I38" s="151" t="s">
        <v>117</v>
      </c>
      <c r="J38" s="176" t="s">
        <v>173</v>
      </c>
    </row>
    <row r="39" spans="1:10" x14ac:dyDescent="0.25">
      <c r="A39" s="73" t="s">
        <v>137</v>
      </c>
      <c r="B39" s="67"/>
      <c r="C39" s="67"/>
      <c r="D39" s="58" t="s">
        <v>113</v>
      </c>
      <c r="E39" s="180"/>
      <c r="F39" s="67"/>
      <c r="G39" s="70"/>
      <c r="H39" s="80" t="str">
        <f>IF('Facility Information'!H38&gt;0,'Facility Information'!H38,"")</f>
        <v/>
      </c>
      <c r="I39" s="80" t="str">
        <f>IF('Facility Information'!H38&gt;0,'Facility Information'!E32,"")</f>
        <v/>
      </c>
      <c r="J39" s="198"/>
    </row>
    <row r="41" spans="1:10" ht="15" customHeight="1" x14ac:dyDescent="0.25">
      <c r="A41" s="73" t="s">
        <v>152</v>
      </c>
      <c r="C41" s="162"/>
      <c r="D41" s="191" t="s">
        <v>118</v>
      </c>
      <c r="E41" s="77"/>
      <c r="F41" s="193" t="s">
        <v>119</v>
      </c>
      <c r="G41" s="194"/>
      <c r="H41" s="194"/>
      <c r="I41" s="194"/>
      <c r="J41" s="194"/>
    </row>
    <row r="42" spans="1:10" ht="15" customHeight="1" x14ac:dyDescent="0.25">
      <c r="C42" s="162"/>
      <c r="D42" s="191" t="s">
        <v>120</v>
      </c>
      <c r="E42" s="40" t="str">
        <f>IF(F39="","",F39*E41+G39*(1-E41))</f>
        <v/>
      </c>
      <c r="F42" s="193" t="s">
        <v>121</v>
      </c>
      <c r="G42" s="194"/>
      <c r="H42" s="194"/>
      <c r="I42" s="194"/>
      <c r="J42" s="194"/>
    </row>
    <row r="43" spans="1:10" ht="15" customHeight="1" x14ac:dyDescent="0.25">
      <c r="A43" s="61">
        <f>IF(E14="",0,LOOKUP(E14,'Emission Factors'!A40:A53,'Emission Factors'!D40:D53))</f>
        <v>0</v>
      </c>
      <c r="C43" s="162"/>
      <c r="D43" s="191" t="s">
        <v>122</v>
      </c>
      <c r="E43" s="41" t="str">
        <f>IF(F39="","",G39-F39)</f>
        <v/>
      </c>
      <c r="F43" s="193" t="s">
        <v>123</v>
      </c>
      <c r="G43" s="194"/>
      <c r="H43" s="194"/>
      <c r="I43" s="194"/>
      <c r="J43" s="194"/>
    </row>
    <row r="44" spans="1:10" x14ac:dyDescent="0.25">
      <c r="A44" s="61">
        <f>IF(F14="",0,LOOKUP(F14,'Emission Factors'!A40:A53,'Emission Factors'!D40:D53))</f>
        <v>0</v>
      </c>
      <c r="C44" s="189"/>
      <c r="D44" s="159" t="s">
        <v>124</v>
      </c>
      <c r="E44" s="42" t="str">
        <f>IF(F39="","",H39/E43)</f>
        <v/>
      </c>
      <c r="F44" s="195" t="s">
        <v>125</v>
      </c>
      <c r="G44" s="196"/>
      <c r="H44" s="196"/>
      <c r="I44" s="196"/>
      <c r="J44" s="196"/>
    </row>
    <row r="45" spans="1:10" x14ac:dyDescent="0.25">
      <c r="A45" s="61" t="str">
        <f>IF(SUM(A43:A44)&lt;1,"",((A43+'Facility Processes'!A44)-(('Facility Processes'!A43*'Facility Processes'!A44)/100)))</f>
        <v/>
      </c>
      <c r="C45" s="189"/>
      <c r="D45" s="159" t="s">
        <v>126</v>
      </c>
      <c r="E45" s="42" t="str">
        <f>IF(F39="","",I39/E43)</f>
        <v/>
      </c>
      <c r="F45" s="195" t="s">
        <v>127</v>
      </c>
      <c r="G45" s="196"/>
      <c r="H45" s="196"/>
      <c r="I45" s="196"/>
      <c r="J45" s="196"/>
    </row>
    <row r="46" spans="1:10" ht="15" customHeight="1" x14ac:dyDescent="0.25">
      <c r="C46" s="190"/>
      <c r="D46" s="192" t="s">
        <v>128</v>
      </c>
      <c r="E46" s="78">
        <v>8.3000000000000007</v>
      </c>
      <c r="F46" s="193" t="s">
        <v>141</v>
      </c>
      <c r="G46" s="194"/>
      <c r="H46" s="194"/>
      <c r="I46" s="194"/>
      <c r="J46" s="194"/>
    </row>
    <row r="47" spans="1:10" x14ac:dyDescent="0.25">
      <c r="A47" s="61">
        <f>IF(E15="",0,LOOKUP(E15,'Emission Factors'!A40:A53,'Emission Factors'!D40:D53))</f>
        <v>0</v>
      </c>
      <c r="C47" s="161"/>
      <c r="D47" s="160" t="s">
        <v>140</v>
      </c>
      <c r="E47" s="79">
        <v>100</v>
      </c>
      <c r="F47" s="197" t="s">
        <v>129</v>
      </c>
      <c r="G47" s="197"/>
      <c r="H47" s="197"/>
      <c r="I47" s="197"/>
      <c r="J47" s="197"/>
    </row>
    <row r="48" spans="1:10" x14ac:dyDescent="0.25">
      <c r="A48" s="61">
        <f>IF(F15="",0,LOOKUP(F15,'Emission Factors'!A40:A53,'Emission Factors'!D40:D53))</f>
        <v>0</v>
      </c>
    </row>
    <row r="49" spans="1:4" x14ac:dyDescent="0.25">
      <c r="A49" s="61" t="str">
        <f>IF(SUM(A47:A48)&lt;1,"",((A47+'Facility Processes'!A48)-(('Facility Processes'!A47*'Facility Processes'!A48)/100)))</f>
        <v/>
      </c>
      <c r="B49" s="61" t="s">
        <v>132</v>
      </c>
    </row>
    <row r="50" spans="1:4" x14ac:dyDescent="0.25">
      <c r="D50" s="61" t="s">
        <v>133</v>
      </c>
    </row>
    <row r="51" spans="1:4" x14ac:dyDescent="0.25">
      <c r="D51" s="61" t="s">
        <v>134</v>
      </c>
    </row>
    <row r="52" spans="1:4" x14ac:dyDescent="0.25">
      <c r="D52" s="61" t="s">
        <v>135</v>
      </c>
    </row>
    <row r="53" spans="1:4" x14ac:dyDescent="0.25">
      <c r="D53" s="72" t="s">
        <v>136</v>
      </c>
    </row>
  </sheetData>
  <sheetProtection algorithmName="SHA-512" hashValue="If78PYEOzb1rnATys7UcGhpvYTLAPjT9RWnB8PwZOphEkGEY1msB+a5AbxJCsHrU1kn9RSNtWsn4wpAcMhwSDA==" saltValue="mzTawicrJAjspr5EUnbm1g==" spinCount="100000" sheet="1" objects="1" scenarios="1"/>
  <conditionalFormatting sqref="I7">
    <cfRule type="expression" dxfId="4" priority="31" stopIfTrue="1">
      <formula>$H$20="Natural Gas Usage (MMCF/yr)"</formula>
    </cfRule>
  </conditionalFormatting>
  <conditionalFormatting sqref="I8">
    <cfRule type="expression" dxfId="3" priority="32" stopIfTrue="1">
      <formula>$H$21="Natural Gas Usage (MMCF/yr)"</formula>
    </cfRule>
  </conditionalFormatting>
  <conditionalFormatting sqref="I9">
    <cfRule type="expression" dxfId="2" priority="33" stopIfTrue="1">
      <formula>$H$22="Natural Gas Usage (MMCF/yr)"</formula>
    </cfRule>
  </conditionalFormatting>
  <conditionalFormatting sqref="I10">
    <cfRule type="expression" dxfId="1" priority="45" stopIfTrue="1">
      <formula>#REF!="Natural Gas Usage (MMCF/yr)"</formula>
    </cfRule>
  </conditionalFormatting>
  <conditionalFormatting sqref="I11">
    <cfRule type="expression" dxfId="0" priority="46" stopIfTrue="1">
      <formula>#REF!="Natural Gas Usage (MMCF/yr)"</formula>
    </cfRule>
  </conditionalFormatting>
  <dataValidations count="12">
    <dataValidation type="list" allowBlank="1" showInputMessage="1" showErrorMessage="1" sqref="D7:D9" xr:uid="{00000000-0002-0000-0100-000000000000}">
      <formula1>Receive</formula1>
    </dataValidation>
    <dataValidation type="list" allowBlank="1" showInputMessage="1" showErrorMessage="1" sqref="D20:D22" xr:uid="{00000000-0002-0000-0100-000001000000}">
      <formula1>CHS</formula1>
    </dataValidation>
    <dataValidation type="list" allowBlank="1" showInputMessage="1" showErrorMessage="1" sqref="D27:D28" xr:uid="{00000000-0002-0000-0100-000002000000}">
      <formula1>Dryer</formula1>
    </dataValidation>
    <dataValidation type="list" allowBlank="1" showInputMessage="1" showErrorMessage="1" sqref="D33:D34" xr:uid="{00000000-0002-0000-0100-000003000000}">
      <formula1>Combust</formula1>
    </dataValidation>
    <dataValidation type="list" allowBlank="1" showInputMessage="1" showErrorMessage="1" sqref="E20:E22" xr:uid="{00000000-0002-0000-0100-000004000000}">
      <formula1>CISCon</formula1>
    </dataValidation>
    <dataValidation type="list" allowBlank="1" showInputMessage="1" showErrorMessage="1" sqref="E14:E15" xr:uid="{00000000-0002-0000-0100-000005000000}">
      <formula1>LControl</formula1>
    </dataValidation>
    <dataValidation type="list" allowBlank="1" showInputMessage="1" showErrorMessage="1" sqref="E7:E9" xr:uid="{00000000-0002-0000-0100-000006000000}">
      <formula1>RCon</formula1>
    </dataValidation>
    <dataValidation type="list" allowBlank="1" showInputMessage="1" showErrorMessage="1" sqref="D14:D15" xr:uid="{00000000-0002-0000-0100-000007000000}">
      <formula1>Loading</formula1>
    </dataValidation>
    <dataValidation type="list" allowBlank="1" showInputMessage="1" showErrorMessage="1" sqref="A39" xr:uid="{00000000-0002-0000-0100-000008000000}">
      <formula1>"roadcon"</formula1>
    </dataValidation>
    <dataValidation type="list" allowBlank="1" showInputMessage="1" showErrorMessage="1" sqref="E39" xr:uid="{00000000-0002-0000-0100-000009000000}">
      <formula1>RoadCon</formula1>
    </dataValidation>
    <dataValidation type="list" allowBlank="1" showInputMessage="1" showErrorMessage="1" sqref="E27:E28" xr:uid="{00000000-0002-0000-0100-00000A000000}">
      <formula1>$A$41</formula1>
    </dataValidation>
    <dataValidation type="list" allowBlank="1" showInputMessage="1" showErrorMessage="1" sqref="F14:F15" xr:uid="{00000000-0002-0000-0100-00000B000000}">
      <formula1>OilCon</formula1>
    </dataValidation>
  </dataValidations>
  <pageMargins left="0.25" right="0.25" top="0.75" bottom="0.75" header="0.3" footer="0.3"/>
  <pageSetup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89"/>
  <sheetViews>
    <sheetView topLeftCell="B1" zoomScaleNormal="100" workbookViewId="0">
      <selection activeCell="B1" sqref="B1"/>
    </sheetView>
  </sheetViews>
  <sheetFormatPr defaultRowHeight="15" x14ac:dyDescent="0.25"/>
  <cols>
    <col min="1" max="1" width="0" style="19" hidden="1" customWidth="1"/>
    <col min="2" max="3" width="5" customWidth="1"/>
    <col min="4" max="4" width="23.85546875" bestFit="1" customWidth="1"/>
    <col min="5" max="5" width="9" bestFit="1" customWidth="1"/>
    <col min="6" max="6" width="11.42578125" hidden="1" customWidth="1"/>
    <col min="7" max="7" width="11.42578125" style="19" customWidth="1"/>
    <col min="8" max="8" width="11" bestFit="1" customWidth="1"/>
    <col min="9" max="9" width="11.140625" style="4" customWidth="1"/>
    <col min="10" max="10" width="10.5703125" bestFit="1" customWidth="1"/>
    <col min="11" max="11" width="10.28515625" customWidth="1"/>
    <col min="12" max="12" width="19.28515625" hidden="1" customWidth="1"/>
    <col min="13" max="13" width="10.5703125" customWidth="1"/>
    <col min="14" max="14" width="17" hidden="1" customWidth="1"/>
    <col min="15" max="15" width="17.7109375" hidden="1" customWidth="1"/>
    <col min="16" max="16" width="15.5703125" customWidth="1"/>
  </cols>
  <sheetData>
    <row r="1" spans="2:16" ht="18.75" x14ac:dyDescent="0.3">
      <c r="B1" s="44" t="s">
        <v>56</v>
      </c>
      <c r="C1" s="45"/>
      <c r="D1" s="46"/>
      <c r="E1" s="46"/>
      <c r="F1" s="46"/>
      <c r="G1" s="46"/>
      <c r="H1" s="46"/>
      <c r="I1" s="47"/>
      <c r="J1" s="46"/>
      <c r="K1" s="46"/>
      <c r="L1" s="46"/>
      <c r="M1" s="46"/>
      <c r="N1" s="46"/>
      <c r="O1" s="46"/>
      <c r="P1" s="46"/>
    </row>
    <row r="2" spans="2:16" s="19" customFormat="1" ht="18.75" hidden="1" x14ac:dyDescent="0.3">
      <c r="B2" s="44"/>
      <c r="C2" s="45"/>
      <c r="D2" s="46"/>
      <c r="E2" s="46"/>
      <c r="F2" s="46"/>
      <c r="G2" s="46"/>
      <c r="H2" s="46"/>
      <c r="I2" s="47"/>
      <c r="J2" s="46"/>
      <c r="K2" s="46"/>
      <c r="L2" s="46"/>
      <c r="M2" s="46"/>
      <c r="N2" s="46"/>
      <c r="O2" s="46"/>
      <c r="P2" s="46"/>
    </row>
    <row r="3" spans="2:16" s="19" customFormat="1" hidden="1" x14ac:dyDescent="0.25">
      <c r="B3" s="84" t="s">
        <v>148</v>
      </c>
      <c r="C3" s="45"/>
      <c r="D3" s="46"/>
      <c r="E3" s="46"/>
      <c r="F3" s="46"/>
      <c r="G3" s="46"/>
      <c r="H3" s="46"/>
      <c r="I3" s="47"/>
      <c r="J3" s="46"/>
      <c r="K3" s="46"/>
      <c r="L3" s="46"/>
      <c r="M3" s="46"/>
      <c r="N3" s="46"/>
      <c r="O3" s="46"/>
      <c r="P3" s="46"/>
    </row>
    <row r="4" spans="2:16" s="104" customFormat="1" ht="33.75" customHeight="1" x14ac:dyDescent="0.25">
      <c r="B4" s="140" t="s">
        <v>48</v>
      </c>
      <c r="C4" s="140" t="s">
        <v>49</v>
      </c>
      <c r="D4" s="95" t="s">
        <v>50</v>
      </c>
      <c r="E4" s="140" t="s">
        <v>42</v>
      </c>
      <c r="F4" s="95" t="s">
        <v>47</v>
      </c>
      <c r="G4" s="149" t="s">
        <v>169</v>
      </c>
      <c r="H4" s="95" t="s">
        <v>102</v>
      </c>
      <c r="I4" s="95" t="s">
        <v>51</v>
      </c>
      <c r="J4" s="95" t="s">
        <v>102</v>
      </c>
      <c r="K4" s="95" t="s">
        <v>103</v>
      </c>
      <c r="L4" s="95" t="s">
        <v>54</v>
      </c>
      <c r="M4" s="95" t="s">
        <v>55</v>
      </c>
      <c r="N4" s="95" t="s">
        <v>53</v>
      </c>
      <c r="O4" s="95" t="s">
        <v>52</v>
      </c>
      <c r="P4" s="95" t="s">
        <v>58</v>
      </c>
    </row>
    <row r="5" spans="2:16" x14ac:dyDescent="0.25">
      <c r="B5" s="48" t="str">
        <f>IF('Facility Processes'!B7="","",'Facility Processes'!B7)</f>
        <v/>
      </c>
      <c r="C5" s="48" t="str">
        <f>IF('Facility Processes'!C7="","",'Facility Processes'!C7)</f>
        <v/>
      </c>
      <c r="D5" s="49" t="str">
        <f>IF('Facility Processes'!D7="","",'Facility Processes'!D7)</f>
        <v/>
      </c>
      <c r="E5" s="49" t="str">
        <f>IF('Facility Processes'!D7="","",LOOKUP(D5,'Emission Factors'!$A$13:$A$15,'Emission Factors'!$B$13:$B$15))</f>
        <v/>
      </c>
      <c r="F5" s="48" t="str">
        <f>IF('Facility Processes'!F7="",(" "),'Facility Processes'!F7)</f>
        <v xml:space="preserve"> </v>
      </c>
      <c r="G5" s="48" t="str">
        <f>IF('Facility Processes'!D7="","",('Facility Processes'!G7))</f>
        <v/>
      </c>
      <c r="H5" s="48" t="str">
        <f>IF('Facility Processes'!F7="","","tons/hr")</f>
        <v/>
      </c>
      <c r="I5" s="50" t="str">
        <f>IF('Facility Processes'!D7="","",LOOKUP(D5,'Emission Factors'!$A$13:$A$15,'Emission Factors'!$D$13:$D$15))</f>
        <v/>
      </c>
      <c r="J5" s="48" t="str">
        <f>IF(I5="","",LOOKUP(D5,'Emission Factors'!$A$13:$A$15,'Emission Factors'!$E$13:$E$15))</f>
        <v/>
      </c>
      <c r="K5" s="48" t="str">
        <f t="shared" ref="K5:K14" si="0">IF(I5="","","AP-42")</f>
        <v/>
      </c>
      <c r="L5" s="51" t="str">
        <f>IF('Facility Processes'!D7="","",F5*I5)</f>
        <v/>
      </c>
      <c r="M5" s="48" t="str">
        <f>IF('Facility Processes'!E7="","",LOOKUP('Facility Processes'!E7,'Emission Factors'!$A$40:$A$53,'Emission Factors'!$D$40:$D$53))</f>
        <v/>
      </c>
      <c r="N5" s="51" t="str">
        <f>IF('Facility Processes'!E7="","",IF(M5=0,"",L5*((100-M5)/100)))</f>
        <v/>
      </c>
      <c r="O5" s="51" t="str">
        <f>IF('Facility Processes'!D7="","",IF(L5=MAX($L$5:$L$7),(MAX('Facility Information'!$E$32:$E$36)*1.2)*I5*(IF(M5="",(1/2000),((100-M5)/100/2000))),""))</f>
        <v/>
      </c>
      <c r="P5" s="51" t="str">
        <f>IF('Facility Processes'!D7="","",('Facility Processes'!G7)*I5*(IF(M5="",(1/2000),((100-M5)/100/2000))))</f>
        <v/>
      </c>
    </row>
    <row r="6" spans="2:16" x14ac:dyDescent="0.25">
      <c r="B6" s="48" t="str">
        <f>IF('Facility Processes'!B8="","",'Facility Processes'!B8)</f>
        <v/>
      </c>
      <c r="C6" s="48" t="str">
        <f>IF('Facility Processes'!C8="","",'Facility Processes'!C8)</f>
        <v/>
      </c>
      <c r="D6" s="49" t="str">
        <f>IF('Facility Processes'!D8="","",'Facility Processes'!D8)</f>
        <v/>
      </c>
      <c r="E6" s="49" t="str">
        <f>IF('Facility Processes'!D8="","",LOOKUP(D6,'Emission Factors'!$A$13:$A$15,'Emission Factors'!$B$13:$B$15))</f>
        <v/>
      </c>
      <c r="F6" s="48" t="str">
        <f>IF('Facility Processes'!F8="",(" "),'Facility Processes'!F8)</f>
        <v xml:space="preserve"> </v>
      </c>
      <c r="G6" s="48" t="str">
        <f>IF('Facility Processes'!D8="","",('Facility Processes'!G8))</f>
        <v/>
      </c>
      <c r="H6" s="48" t="str">
        <f>IF('Facility Processes'!F8="","","tons/hr")</f>
        <v/>
      </c>
      <c r="I6" s="50" t="str">
        <f>IF('Facility Processes'!D8="","",LOOKUP(D6,'Emission Factors'!$A$13:$A$15,'Emission Factors'!$D$13:$D$15))</f>
        <v/>
      </c>
      <c r="J6" s="48" t="str">
        <f>IF(I6="","",LOOKUP(D6,'Emission Factors'!$A$13:$A$15,'Emission Factors'!$E$13:$E$15))</f>
        <v/>
      </c>
      <c r="K6" s="48" t="str">
        <f t="shared" si="0"/>
        <v/>
      </c>
      <c r="L6" s="51" t="str">
        <f>IF('Facility Processes'!D8="","",F6*I6)</f>
        <v/>
      </c>
      <c r="M6" s="48" t="str">
        <f>IF('Facility Processes'!E8="","",LOOKUP('Facility Processes'!E8,'Emission Factors'!$A$40:$A$53,'Emission Factors'!$D$40:$D$53))</f>
        <v/>
      </c>
      <c r="N6" s="51" t="str">
        <f>IF('Facility Processes'!E8="","",IF(M6=0,"",L6*((100-M6)/100)))</f>
        <v/>
      </c>
      <c r="O6" s="51" t="str">
        <f>IF('Facility Processes'!D8="","",IF(L6=MAX($L$5:$L$7),(MAX('Facility Information'!$E$32:$E$36)*1.2)*I6*(IF(M6="",(1/2000),((100-M6)/100/2000))),""))</f>
        <v/>
      </c>
      <c r="P6" s="51" t="str">
        <f>IF('Facility Processes'!D8="","",('Facility Processes'!G8)*I6*(IF(M6="",(1/2000),((100-M6)/100/2000))))</f>
        <v/>
      </c>
    </row>
    <row r="7" spans="2:16" x14ac:dyDescent="0.25">
      <c r="B7" s="48" t="str">
        <f>IF('Facility Processes'!B9="","",'Facility Processes'!B9)</f>
        <v/>
      </c>
      <c r="C7" s="48" t="str">
        <f>IF('Facility Processes'!C9="","",'Facility Processes'!C9)</f>
        <v/>
      </c>
      <c r="D7" s="49" t="str">
        <f>IF('Facility Processes'!D9="","",'Facility Processes'!D9)</f>
        <v/>
      </c>
      <c r="E7" s="49" t="str">
        <f>IF('Facility Processes'!D9="","",LOOKUP(D7,'Emission Factors'!$A$13:$A$15,'Emission Factors'!$B$13:$B$15))</f>
        <v/>
      </c>
      <c r="F7" s="48" t="str">
        <f>IF('Facility Processes'!F9="",(" "),'Facility Processes'!F9)</f>
        <v xml:space="preserve"> </v>
      </c>
      <c r="G7" s="48" t="str">
        <f>IF('Facility Processes'!D9="","",('Facility Processes'!G9))</f>
        <v/>
      </c>
      <c r="H7" s="48" t="str">
        <f>IF('Facility Processes'!F9="","","tons/hr")</f>
        <v/>
      </c>
      <c r="I7" s="50" t="str">
        <f>IF('Facility Processes'!D9="","",LOOKUP(D7,'Emission Factors'!$A$13:$A$15,'Emission Factors'!$D$13:$D$15))</f>
        <v/>
      </c>
      <c r="J7" s="48" t="str">
        <f>IF(I7="","",LOOKUP(D7,'Emission Factors'!$A$13:$A$15,'Emission Factors'!$E$13:$E$15))</f>
        <v/>
      </c>
      <c r="K7" s="48" t="str">
        <f t="shared" si="0"/>
        <v/>
      </c>
      <c r="L7" s="51" t="str">
        <f>IF('Facility Processes'!D9="","",F7*I7)</f>
        <v/>
      </c>
      <c r="M7" s="48" t="str">
        <f>IF('Facility Processes'!E9="","",LOOKUP('Facility Processes'!E9,'Emission Factors'!$A$40:$A$53,'Emission Factors'!$D$40:$D$53))</f>
        <v/>
      </c>
      <c r="N7" s="51" t="str">
        <f>IF('Facility Processes'!E9="","",IF(M7=0,"",L7*((100-M7)/100)))</f>
        <v/>
      </c>
      <c r="O7" s="51" t="str">
        <f>IF('Facility Processes'!D9="","",IF(L7=MAX($L$5:$L$7),(MAX('Facility Information'!$E$32:$E$36)*1.2)*I7*(IF(M7="",(1/2000),((100-M7)/100/2000))),""))</f>
        <v/>
      </c>
      <c r="P7" s="51" t="str">
        <f>IF('Facility Processes'!D9="","",('Facility Processes'!G9)*I7*(IF(M7="",(1/2000),((100-M7)/100/2000))))</f>
        <v/>
      </c>
    </row>
    <row r="8" spans="2:16" x14ac:dyDescent="0.25">
      <c r="B8" s="48" t="str">
        <f>IF('Facility Processes'!B14="","",'Facility Processes'!B14)</f>
        <v/>
      </c>
      <c r="C8" s="48" t="str">
        <f>IF('Facility Processes'!C14="","",'Facility Processes'!C14)</f>
        <v/>
      </c>
      <c r="D8" s="49" t="str">
        <f>IF('Facility Processes'!D14="","",'Facility Processes'!D14)</f>
        <v/>
      </c>
      <c r="E8" s="48" t="str">
        <f>IF('Facility Processes'!D14="","",LOOKUP(D8,'Emission Factors'!$A$10:$A$12,'Emission Factors'!$B$10:$B$12))</f>
        <v/>
      </c>
      <c r="F8" s="48" t="str">
        <f>IF('Facility Processes'!G14="",(" "),'Facility Processes'!G14)</f>
        <v xml:space="preserve"> </v>
      </c>
      <c r="G8" s="48" t="str">
        <f>IF('Facility Processes'!D14="","",('Facility Processes'!H14))</f>
        <v/>
      </c>
      <c r="H8" s="48" t="str">
        <f>IF('Facility Processes'!G14="","","tons/hr")</f>
        <v/>
      </c>
      <c r="I8" s="48" t="str">
        <f>IF('Facility Processes'!D14="","",LOOKUP(D8,'Emission Factors'!$A$10:$A$12,'Emission Factors'!$D$10:$D$12))</f>
        <v/>
      </c>
      <c r="J8" s="48" t="str">
        <f>IF(I8="","",LOOKUP(D8,'Emission Factors'!$A$10:$A$12,'Emission Factors'!$E$10:$E$12))</f>
        <v/>
      </c>
      <c r="K8" s="48" t="str">
        <f t="shared" si="0"/>
        <v/>
      </c>
      <c r="L8" s="51" t="str">
        <f>IF('Facility Processes'!D14="","",F8*I8)</f>
        <v/>
      </c>
      <c r="M8" s="48" t="str">
        <f>IF('Facility Processes'!A45&lt;1,"",'Facility Processes'!A45)</f>
        <v/>
      </c>
      <c r="N8" s="51" t="str">
        <f>IF('Facility Processes'!E14="","",IF(M8=0,"",L8*((100-M8)/100)))</f>
        <v/>
      </c>
      <c r="O8" s="51" t="str">
        <f>IF('Facility Processes'!D14="","",IF(L8=MAX($L$8:$L$9),(MAX('Facility Information'!$E$32:$E$36)*1.2)*I8*(IF(M8="",(1/2000),((100-M8)/100/2000))),""))</f>
        <v/>
      </c>
      <c r="P8" s="51" t="str">
        <f>IF('Facility Processes'!D14="","",('Facility Processes'!H14)*I8*(IF(M8="",(1/2000),((100-M8)/100/2000))))</f>
        <v/>
      </c>
    </row>
    <row r="9" spans="2:16" x14ac:dyDescent="0.25">
      <c r="B9" s="48" t="str">
        <f>IF('Facility Processes'!B15="","",'Facility Processes'!B15)</f>
        <v/>
      </c>
      <c r="C9" s="48" t="str">
        <f>IF('Facility Processes'!C15="","",'Facility Processes'!C15)</f>
        <v/>
      </c>
      <c r="D9" s="49" t="str">
        <f>IF('Facility Processes'!D15="","",'Facility Processes'!D15)</f>
        <v/>
      </c>
      <c r="E9" s="48" t="str">
        <f>IF('Facility Processes'!D15="","",LOOKUP(D9,'Emission Factors'!$A$10:$A$12,'Emission Factors'!$B$10:$B$12))</f>
        <v/>
      </c>
      <c r="F9" s="48" t="str">
        <f>IF('Facility Processes'!G15="",(" "),'Facility Processes'!G15)</f>
        <v xml:space="preserve"> </v>
      </c>
      <c r="G9" s="48" t="str">
        <f>IF('Facility Processes'!D15="","",('Facility Processes'!H15))</f>
        <v/>
      </c>
      <c r="H9" s="48" t="str">
        <f>IF('Facility Processes'!G15="","","tons/hr")</f>
        <v/>
      </c>
      <c r="I9" s="48" t="str">
        <f>IF('Facility Processes'!D15="","",LOOKUP(D9,'Emission Factors'!$A$10:$A$12,'Emission Factors'!$D$10:$D$12))</f>
        <v/>
      </c>
      <c r="J9" s="48" t="str">
        <f>IF(I9="","",LOOKUP(D9,'Emission Factors'!$A$10:$A$12,'Emission Factors'!$E$10:$E$12))</f>
        <v/>
      </c>
      <c r="K9" s="48" t="str">
        <f t="shared" si="0"/>
        <v/>
      </c>
      <c r="L9" s="51" t="str">
        <f>IF('Facility Processes'!D15="","",F9*I9)</f>
        <v/>
      </c>
      <c r="M9" s="48" t="str">
        <f>IF('Facility Processes'!A49&lt;1,"",'Facility Processes'!A49)</f>
        <v/>
      </c>
      <c r="N9" s="51" t="str">
        <f>IF('Facility Processes'!E15="","",IF(M9=0,"",L9*((100-M9)/100)))</f>
        <v/>
      </c>
      <c r="O9" s="51" t="str">
        <f>IF('Facility Processes'!D15="","",IF(L9=MAX($L$8:$L$9),(MAX('Facility Information'!$E$32:$E$36)*1.2)*I9*(IF(M9="",(1/2000),((100-M9)/100/2000))),""))</f>
        <v/>
      </c>
      <c r="P9" s="51" t="str">
        <f>IF('Facility Processes'!D15="","",('Facility Processes'!H15)*I9*(IF(M9="",(1/2000),((100-M9)/100/2000))))</f>
        <v/>
      </c>
    </row>
    <row r="10" spans="2:16" x14ac:dyDescent="0.25">
      <c r="B10" s="48" t="str">
        <f>IF('Facility Processes'!B20="",(" "),'Facility Processes'!B20)</f>
        <v xml:space="preserve"> </v>
      </c>
      <c r="C10" s="48" t="str">
        <f>IF('Facility Processes'!C20="",(" "),'Facility Processes'!C20)</f>
        <v xml:space="preserve"> </v>
      </c>
      <c r="D10" s="49" t="str">
        <f>IF('Facility Processes'!D20="",(" "),'Facility Processes'!D20)</f>
        <v xml:space="preserve"> </v>
      </c>
      <c r="E10" s="49" t="str">
        <f>IF('Facility Processes'!D20="","",LOOKUP(D10,'Emission Factors'!$A$7:$A$9,'Emission Factors'!$B$7:$B$9))</f>
        <v/>
      </c>
      <c r="F10" s="48" t="str">
        <f>IF('Facility Processes'!F20="",(" "),'Facility Processes'!F20)</f>
        <v xml:space="preserve"> </v>
      </c>
      <c r="G10" s="48" t="str">
        <f>IF('Facility Processes'!D20="","",('Facility Processes'!G20))</f>
        <v/>
      </c>
      <c r="H10" s="48" t="str">
        <f>IF('Facility Processes'!F20="","","tons/hr")</f>
        <v/>
      </c>
      <c r="I10" s="48" t="str">
        <f>IF('Facility Processes'!D20="","",LOOKUP(D10,'Emission Factors'!$A$7:$A$9,'Emission Factors'!$D$7:$D$9))</f>
        <v/>
      </c>
      <c r="J10" s="48" t="str">
        <f>IF(I10="","",LOOKUP(D10,'Emission Factors'!$A$7:$A$9,'Emission Factors'!$E$7:$E$9))</f>
        <v/>
      </c>
      <c r="K10" s="48" t="str">
        <f t="shared" si="0"/>
        <v/>
      </c>
      <c r="L10" s="51" t="str">
        <f>IF('Facility Processes'!D20="","",F10*I10)</f>
        <v/>
      </c>
      <c r="M10" s="48" t="str">
        <f>IF('Facility Processes'!E20="","",LOOKUP('Facility Processes'!E20,'Emission Factors'!$A$40:$A$53,'Emission Factors'!$D$40:$D$53))</f>
        <v/>
      </c>
      <c r="N10" s="51" t="str">
        <f>IF('Facility Processes'!E20="","",IF(M10=0,"",L10*((100-M10)/100)))</f>
        <v/>
      </c>
      <c r="O10" s="51" t="str">
        <f>IF('Facility Processes'!D20="","",(MAX('Facility Information'!$E$32:$E$36)*1.2)*I10*(IF(M10="",(1/2000),((100-M10)/100/2000))))</f>
        <v/>
      </c>
      <c r="P10" s="51" t="str">
        <f>IF('Facility Processes'!D20="","",('Facility Processes'!G20)*I10*(IF(M10="",(1/2000),((100-M10)/100/2000))))</f>
        <v/>
      </c>
    </row>
    <row r="11" spans="2:16" x14ac:dyDescent="0.25">
      <c r="B11" s="48" t="str">
        <f>IF('Facility Processes'!B21="",(" "),'Facility Processes'!B21)</f>
        <v xml:space="preserve"> </v>
      </c>
      <c r="C11" s="48" t="str">
        <f>IF('Facility Processes'!C21="",(" "),'Facility Processes'!C21)</f>
        <v xml:space="preserve"> </v>
      </c>
      <c r="D11" s="49" t="str">
        <f>IF('Facility Processes'!D21="",(" "),'Facility Processes'!D21)</f>
        <v xml:space="preserve"> </v>
      </c>
      <c r="E11" s="49" t="str">
        <f>IF('Facility Processes'!D21="","",LOOKUP(D11,'Emission Factors'!$A$7:$A$9,'Emission Factors'!$B$7:$B$9))</f>
        <v/>
      </c>
      <c r="F11" s="48" t="str">
        <f>IF('Facility Processes'!F21="",(" "),'Facility Processes'!F21)</f>
        <v xml:space="preserve"> </v>
      </c>
      <c r="G11" s="48" t="str">
        <f>IF('Facility Processes'!D21="","",('Facility Processes'!G21))</f>
        <v/>
      </c>
      <c r="H11" s="48" t="str">
        <f>IF('Facility Processes'!F21="","","tons/hr")</f>
        <v/>
      </c>
      <c r="I11" s="48" t="str">
        <f>IF('Facility Processes'!D21="","",LOOKUP(D11,'Emission Factors'!$A$7:$A$9,'Emission Factors'!$D$7:$D$9))</f>
        <v/>
      </c>
      <c r="J11" s="48" t="str">
        <f>IF(I11="","",LOOKUP(D11,'Emission Factors'!$A$7:$A$9,'Emission Factors'!$E$7:$E$9))</f>
        <v/>
      </c>
      <c r="K11" s="48" t="str">
        <f t="shared" si="0"/>
        <v/>
      </c>
      <c r="L11" s="51" t="str">
        <f>IF('Facility Processes'!D21="","",F11*I11)</f>
        <v/>
      </c>
      <c r="M11" s="48" t="str">
        <f>IF('Facility Processes'!E21="","",LOOKUP('Facility Processes'!E21,'Emission Factors'!$A$40:$A$53,'Emission Factors'!$D$40:$D$53))</f>
        <v/>
      </c>
      <c r="N11" s="51" t="str">
        <f>IF('Facility Processes'!E21="","",IF(M11=0,"",L11*((100-M11)/100)))</f>
        <v/>
      </c>
      <c r="O11" s="51" t="str">
        <f>IF('Facility Processes'!D21="","",(MAX('Facility Information'!$E$32:$E$36)*1.2)*I11*(IF(M11="",(1/2000),((100-M11)/100/2000))))</f>
        <v/>
      </c>
      <c r="P11" s="51" t="str">
        <f>IF('Facility Processes'!D21="","",('Facility Processes'!G21)*I11*(IF(M11="",(1/2000),((100-M11)/100/2000))))</f>
        <v/>
      </c>
    </row>
    <row r="12" spans="2:16" x14ac:dyDescent="0.25">
      <c r="B12" s="48" t="str">
        <f>IF('Facility Processes'!B22="",(" "),'Facility Processes'!B22)</f>
        <v xml:space="preserve"> </v>
      </c>
      <c r="C12" s="48" t="str">
        <f>IF('Facility Processes'!C22="",(" "),'Facility Processes'!C22)</f>
        <v xml:space="preserve"> </v>
      </c>
      <c r="D12" s="49" t="str">
        <f>IF('Facility Processes'!D22="",(" "),'Facility Processes'!D22)</f>
        <v xml:space="preserve"> </v>
      </c>
      <c r="E12" s="49" t="str">
        <f>IF('Facility Processes'!D22="","",LOOKUP(D12,'Emission Factors'!$A$7:$A$9,'Emission Factors'!$B$7:$B$9))</f>
        <v/>
      </c>
      <c r="F12" s="48" t="str">
        <f>IF('Facility Processes'!F22="",(" "),'Facility Processes'!F22)</f>
        <v xml:space="preserve"> </v>
      </c>
      <c r="G12" s="48" t="str">
        <f>IF('Facility Processes'!D22="","",('Facility Processes'!G22))</f>
        <v/>
      </c>
      <c r="H12" s="48" t="str">
        <f>IF('Facility Processes'!F22="","","tons/hr")</f>
        <v/>
      </c>
      <c r="I12" s="48" t="str">
        <f>IF('Facility Processes'!D22="","",LOOKUP(D12,'Emission Factors'!$A$7:$A$9,'Emission Factors'!$D$7:$D$9))</f>
        <v/>
      </c>
      <c r="J12" s="48" t="str">
        <f>IF(I12="","",LOOKUP(D12,'Emission Factors'!$A$7:$A$9,'Emission Factors'!$E$7:$E$9))</f>
        <v/>
      </c>
      <c r="K12" s="48" t="str">
        <f t="shared" si="0"/>
        <v/>
      </c>
      <c r="L12" s="51" t="str">
        <f>IF('Facility Processes'!D22="","",F12*I12)</f>
        <v/>
      </c>
      <c r="M12" s="48" t="str">
        <f>IF('Facility Processes'!E22="","",LOOKUP('Facility Processes'!E22,'Emission Factors'!$A$40:$A$53,'Emission Factors'!$D$40:$D$53))</f>
        <v/>
      </c>
      <c r="N12" s="51" t="str">
        <f>IF('Facility Processes'!E22="","",IF(M12=0,"",L12*((100-M12)/100)))</f>
        <v/>
      </c>
      <c r="O12" s="51" t="str">
        <f>IF('Facility Processes'!D22="","",(MAX('Facility Information'!$E$32:$E$36)*1.2)*I12*(IF(M12="",(1/2000),((100-M12)/100/2000))))</f>
        <v/>
      </c>
      <c r="P12" s="51" t="str">
        <f>IF('Facility Processes'!D22="","",('Facility Processes'!G22)*I12*(IF(M12="",(1/2000),((100-M12)/100/2000))))</f>
        <v/>
      </c>
    </row>
    <row r="13" spans="2:16" x14ac:dyDescent="0.25">
      <c r="B13" s="48" t="str">
        <f>IF('Facility Processes'!B27="",(" "),'Facility Processes'!B27)</f>
        <v xml:space="preserve"> </v>
      </c>
      <c r="C13" s="48" t="str">
        <f>IF('Facility Processes'!C27="",(" "),'Facility Processes'!C27)</f>
        <v xml:space="preserve"> </v>
      </c>
      <c r="D13" s="49" t="str">
        <f>IF('Facility Processes'!D27="",(" "),'Facility Processes'!D27)</f>
        <v xml:space="preserve"> </v>
      </c>
      <c r="E13" s="49" t="str">
        <f>IF('Facility Processes'!D27="","",LOOKUP(D13,'Emission Factors'!$A$5:$A$6,'Emission Factors'!$B$5:$B$6))</f>
        <v/>
      </c>
      <c r="F13" s="48" t="str">
        <f>IF('Facility Processes'!F27="",(" "),'Facility Processes'!F27)</f>
        <v xml:space="preserve"> </v>
      </c>
      <c r="G13" s="48" t="str">
        <f>IF('Facility Processes'!D27="","",('Facility Processes'!G27))</f>
        <v/>
      </c>
      <c r="H13" s="48" t="str">
        <f>IF('Facility Processes'!F27="","","tons/hr")</f>
        <v/>
      </c>
      <c r="I13" s="48" t="str">
        <f>IF('Facility Processes'!D27="","",LOOKUP(D13,'Emission Factors'!$A$5:$A$6,'Emission Factors'!$D$5:$D$6))</f>
        <v/>
      </c>
      <c r="J13" s="48" t="str">
        <f>IF(I13="","",LOOKUP(D13,'Emission Factors'!$A$5:$A$6,'Emission Factors'!$E$5:$E$6))</f>
        <v/>
      </c>
      <c r="K13" s="48" t="str">
        <f t="shared" si="0"/>
        <v/>
      </c>
      <c r="L13" s="51" t="str">
        <f>IF('Facility Processes'!D27="","",F13*I13)</f>
        <v/>
      </c>
      <c r="M13" s="48" t="str">
        <f>IF('Facility Processes'!E27="","",LOOKUP('Facility Processes'!E27,'Emission Factors'!$A$40:$A$53,'Emission Factors'!$D$40:$D$53))</f>
        <v/>
      </c>
      <c r="N13" s="51" t="str">
        <f>IF('Facility Processes'!E27="","",IF(M13=0,"",L13*((100-M13)/100)))</f>
        <v/>
      </c>
      <c r="O13" s="51" t="str">
        <f>IF('Facility Processes'!D27="","",IF(L13=MAX($L$13:$L$14),(MAX('Facility Information'!$E$32:$E$36)*1.2)*I13*(IF(M13="",(1/2000),((100-M13)/100/2000))),""))</f>
        <v/>
      </c>
      <c r="P13" s="51" t="str">
        <f>IF('Facility Processes'!D27="","",('Facility Processes'!G27)*I13*(IF(M13="",(1/2000),((100-M13)/100/2000))))</f>
        <v/>
      </c>
    </row>
    <row r="14" spans="2:16" x14ac:dyDescent="0.25">
      <c r="B14" s="48" t="str">
        <f>IF('Facility Processes'!B28="",(" "),'Facility Processes'!B28)</f>
        <v xml:space="preserve"> </v>
      </c>
      <c r="C14" s="48" t="str">
        <f>IF('Facility Processes'!C28="",(" "),'Facility Processes'!C28)</f>
        <v xml:space="preserve"> </v>
      </c>
      <c r="D14" s="49" t="str">
        <f>IF('Facility Processes'!D28="",(" "),'Facility Processes'!D28)</f>
        <v xml:space="preserve"> </v>
      </c>
      <c r="E14" s="49" t="str">
        <f>IF('Facility Processes'!D28="","",LOOKUP(D14,'Emission Factors'!$A$5:$A$6,'Emission Factors'!$B$5:$B$6))</f>
        <v/>
      </c>
      <c r="F14" s="48" t="str">
        <f>IF('Facility Processes'!F28="",(" "),'Facility Processes'!F28)</f>
        <v xml:space="preserve"> </v>
      </c>
      <c r="G14" s="48" t="str">
        <f>IF('Facility Processes'!D28="","",('Facility Processes'!G28))</f>
        <v/>
      </c>
      <c r="H14" s="48" t="str">
        <f>IF('Facility Processes'!F28="","","tons/hr")</f>
        <v/>
      </c>
      <c r="I14" s="48" t="str">
        <f>IF('Facility Processes'!D28="","",LOOKUP(D14,'Emission Factors'!$A$5:$A$6,'Emission Factors'!$D$5:$D$6))</f>
        <v/>
      </c>
      <c r="J14" s="48" t="str">
        <f>IF(I14="","",LOOKUP(D14,'Emission Factors'!$A$5:$A$6,'Emission Factors'!$E$5:$E$6))</f>
        <v/>
      </c>
      <c r="K14" s="48" t="str">
        <f t="shared" si="0"/>
        <v/>
      </c>
      <c r="L14" s="51" t="str">
        <f>IF('Facility Processes'!D28="","",F14*I14)</f>
        <v/>
      </c>
      <c r="M14" s="48" t="str">
        <f>IF('Facility Processes'!E28="","",LOOKUP('Facility Processes'!E28,'Emission Factors'!$A$40:$A$53,'Emission Factors'!$D$40:$D$53))</f>
        <v/>
      </c>
      <c r="N14" s="51" t="str">
        <f>IF('Facility Processes'!E28="","",IF(M14=0,"",L14*((100-M14)/100)))</f>
        <v/>
      </c>
      <c r="O14" s="51" t="str">
        <f>IF('Facility Processes'!D28="","",IF(L14=MAX($L$13:$L$14),(MAX('Facility Information'!$E$32:$E$36)*1.2)*I14*(IF(M14="",(1/2000),((100-M14)/100/2000))),""))</f>
        <v/>
      </c>
      <c r="P14" s="51" t="str">
        <f>IF('Facility Processes'!D28="","",('Facility Processes'!G28)*I14*(IF(M14="",(1/2000),((100-M14)/100/2000))))</f>
        <v/>
      </c>
    </row>
    <row r="15" spans="2:16" s="19" customFormat="1" x14ac:dyDescent="0.25">
      <c r="B15" s="48"/>
      <c r="C15" s="48"/>
      <c r="D15" s="49" t="str">
        <f>IF('Facility Processes'!F39="","",'Facility Processes'!D39)</f>
        <v/>
      </c>
      <c r="E15" s="49" t="str">
        <f>IF('Facility Processes'!F39="","","30205054")</f>
        <v/>
      </c>
      <c r="F15" s="48" t="str">
        <f>IF(I15="","",'Facility Processes'!E44*'Facility Processes'!J39/8760)</f>
        <v/>
      </c>
      <c r="G15" s="93" t="str">
        <f>IF(I29="","",'Facility Processes'!E45*'Facility Processes'!J39)</f>
        <v/>
      </c>
      <c r="H15" s="48" t="str">
        <f>IF(I15="","","vmt/hr")</f>
        <v/>
      </c>
      <c r="I15" s="48" t="str">
        <f>IF('Facility Processes'!F39="","",(0.15*(('Facility Processes'!E46/12)^0.9)*(('Facility Processes'!E42/3)^0.45)*((365-'Facility Processes'!E47)/365)))</f>
        <v/>
      </c>
      <c r="J15" s="48" t="str">
        <f>IF(I15="","","lb/vmt")</f>
        <v/>
      </c>
      <c r="K15" s="48" t="str">
        <f>IF(I15="","","AP-42")</f>
        <v/>
      </c>
      <c r="L15" s="51" t="str">
        <f>IF(I15="","",O15*2000/8760)</f>
        <v/>
      </c>
      <c r="M15" s="48" t="str">
        <f>IF('Facility Processes'!E39="","",'Emission Factors'!$B$31)</f>
        <v/>
      </c>
      <c r="N15" s="51" t="str">
        <f>IF(M15="","",O15*((100-M15)/100)*2000/8760)</f>
        <v/>
      </c>
      <c r="O15" s="51" t="str">
        <f>IF(I15="","",IF(M15="",I15*'Facility Processes'!E44*'Facility Processes'!J39/2000,I15*'Facility Processes'!E44*'Facility Processes'!J39/2000*(100-M15)/100))</f>
        <v/>
      </c>
      <c r="P15" s="51" t="str">
        <f>IF(I15="","",IF(M15="",'Facility Processes'!E45*'Facility Processes'!J39*I15/2000,'Facility Processes'!E45*'Facility Processes'!J39*I15/2000*((100-M15)/100)))</f>
        <v/>
      </c>
    </row>
    <row r="16" spans="2:16" x14ac:dyDescent="0.25">
      <c r="B16" s="47"/>
      <c r="C16" s="47"/>
      <c r="D16" s="46"/>
      <c r="E16" s="46"/>
      <c r="F16" s="47"/>
      <c r="G16" s="47"/>
      <c r="H16" s="47"/>
      <c r="I16" s="47"/>
      <c r="J16" s="47"/>
      <c r="K16" s="164"/>
      <c r="L16" s="166"/>
      <c r="M16" s="163" t="s">
        <v>74</v>
      </c>
      <c r="O16" s="51">
        <f>SUM(O5:O15)</f>
        <v>0</v>
      </c>
      <c r="P16" s="51">
        <f>SUM(P5:P15)</f>
        <v>0</v>
      </c>
    </row>
    <row r="17" spans="2:16" ht="18.75" x14ac:dyDescent="0.3">
      <c r="B17" s="44" t="s">
        <v>57</v>
      </c>
      <c r="C17" s="45"/>
      <c r="D17" s="46"/>
      <c r="E17" s="46"/>
      <c r="F17" s="47"/>
      <c r="G17" s="47"/>
      <c r="H17" s="47"/>
      <c r="I17" s="47"/>
      <c r="J17" s="46"/>
      <c r="K17" s="46"/>
      <c r="L17" s="46"/>
      <c r="M17" s="46"/>
      <c r="N17" s="46"/>
      <c r="O17" s="46"/>
      <c r="P17" s="46"/>
    </row>
    <row r="18" spans="2:16" s="104" customFormat="1" ht="31.5" customHeight="1" x14ac:dyDescent="0.25">
      <c r="B18" s="96" t="s">
        <v>48</v>
      </c>
      <c r="C18" s="96" t="s">
        <v>49</v>
      </c>
      <c r="D18" s="97" t="s">
        <v>50</v>
      </c>
      <c r="E18" s="96" t="s">
        <v>42</v>
      </c>
      <c r="F18" s="97" t="s">
        <v>47</v>
      </c>
      <c r="G18" s="149" t="s">
        <v>169</v>
      </c>
      <c r="H18" s="95" t="s">
        <v>102</v>
      </c>
      <c r="I18" s="97" t="s">
        <v>51</v>
      </c>
      <c r="J18" s="95" t="s">
        <v>102</v>
      </c>
      <c r="K18" s="95" t="s">
        <v>103</v>
      </c>
      <c r="L18" s="97" t="s">
        <v>54</v>
      </c>
      <c r="M18" s="97" t="s">
        <v>55</v>
      </c>
      <c r="N18" s="97" t="s">
        <v>53</v>
      </c>
      <c r="O18" s="97" t="s">
        <v>52</v>
      </c>
      <c r="P18" s="97" t="s">
        <v>58</v>
      </c>
    </row>
    <row r="19" spans="2:16" x14ac:dyDescent="0.25">
      <c r="B19" s="48" t="str">
        <f>IF('Facility Processes'!B7="","",'Facility Processes'!B7)</f>
        <v/>
      </c>
      <c r="C19" s="48" t="str">
        <f>IF('Facility Processes'!C7="","",'Facility Processes'!C7)</f>
        <v/>
      </c>
      <c r="D19" s="49" t="str">
        <f>IF('Facility Processes'!D7="","",'Facility Processes'!D7)</f>
        <v/>
      </c>
      <c r="E19" s="49" t="str">
        <f>IF('Facility Processes'!D7="","",LOOKUP(D19,'Emission Factors'!$A$13:$A$15,'Emission Factors'!$B$13:$B$15))</f>
        <v/>
      </c>
      <c r="F19" s="48" t="str">
        <f>IF('Facility Processes'!F7="",(" "),'Facility Processes'!F7)</f>
        <v xml:space="preserve"> </v>
      </c>
      <c r="G19" s="48" t="str">
        <f>IF('Facility Processes'!D7="","",('Facility Processes'!G7))</f>
        <v/>
      </c>
      <c r="H19" s="48" t="str">
        <f>IF('Facility Processes'!F7="","","tons/hr")</f>
        <v/>
      </c>
      <c r="I19" s="48" t="str">
        <f>IF('Facility Processes'!D7="","",LOOKUP(D19,'Emission Factors'!$A$13:$A$15,'Emission Factors'!$F$13:$F$15))</f>
        <v/>
      </c>
      <c r="J19" s="48" t="str">
        <f>IF(I19="","",LOOKUP(D19,'Emission Factors'!$A$13:$A$15,'Emission Factors'!$G$13:$G$15))</f>
        <v/>
      </c>
      <c r="K19" s="48" t="str">
        <f t="shared" ref="K19:K28" si="1">IF(I19="","","AP-42")</f>
        <v/>
      </c>
      <c r="L19" s="51" t="str">
        <f>IF('Facility Processes'!D7="","",F19*I19)</f>
        <v/>
      </c>
      <c r="M19" s="48" t="str">
        <f>IF('Facility Processes'!E7="","",LOOKUP('Facility Processes'!E7,'Emission Factors'!$A$40:$A$53,'Emission Factors'!$D$40:$D$53))</f>
        <v/>
      </c>
      <c r="N19" s="51" t="str">
        <f>IF('Facility Processes'!E7="","",IF(M19=0,"",L19*((100-M19)/100)))</f>
        <v/>
      </c>
      <c r="O19" s="51" t="str">
        <f>IF('Facility Processes'!D7="","",IF(L19=MAX($L$19:$L$21),(MAX('Facility Information'!$E$32:$E$36)*1.2)*I19*(IF(M19="",(1/2000),((100-M19)/100/2000))),""))</f>
        <v/>
      </c>
      <c r="P19" s="51" t="str">
        <f>IF('Facility Processes'!D7="","",('Facility Processes'!G7)*I19*(IF(M19="",(1/2000),((100-M19)/100/2000))))</f>
        <v/>
      </c>
    </row>
    <row r="20" spans="2:16" x14ac:dyDescent="0.25">
      <c r="B20" s="48" t="str">
        <f>IF('Facility Processes'!B8="","",'Facility Processes'!B8)</f>
        <v/>
      </c>
      <c r="C20" s="48" t="str">
        <f>IF('Facility Processes'!C8="","",'Facility Processes'!C8)</f>
        <v/>
      </c>
      <c r="D20" s="49" t="str">
        <f>IF('Facility Processes'!D8="","",'Facility Processes'!D8)</f>
        <v/>
      </c>
      <c r="E20" s="49" t="str">
        <f>IF('Facility Processes'!D8="","",LOOKUP(D20,'Emission Factors'!$A$13:$A$15,'Emission Factors'!$B$13:$B$15))</f>
        <v/>
      </c>
      <c r="F20" s="48" t="str">
        <f>IF('Facility Processes'!F8="",(" "),'Facility Processes'!F8)</f>
        <v xml:space="preserve"> </v>
      </c>
      <c r="G20" s="48" t="str">
        <f>IF('Facility Processes'!D8="","",('Facility Processes'!G8))</f>
        <v/>
      </c>
      <c r="H20" s="48" t="str">
        <f>IF('Facility Processes'!F8="","","tons/hr")</f>
        <v/>
      </c>
      <c r="I20" s="48" t="str">
        <f>IF('Facility Processes'!D8="","",LOOKUP(D20,'Emission Factors'!$A$13:$A$15,'Emission Factors'!$F$13:$F$15))</f>
        <v/>
      </c>
      <c r="J20" s="48" t="str">
        <f>IF(I20="","",LOOKUP(D20,'Emission Factors'!$A$13:$A$15,'Emission Factors'!$G$13:$G$15))</f>
        <v/>
      </c>
      <c r="K20" s="48" t="str">
        <f t="shared" si="1"/>
        <v/>
      </c>
      <c r="L20" s="51" t="str">
        <f>IF('Facility Processes'!D8="","",F20*I20)</f>
        <v/>
      </c>
      <c r="M20" s="48" t="str">
        <f>IF('Facility Processes'!E8="","",LOOKUP('Facility Processes'!E8,'Emission Factors'!$A$40:$A$53,'Emission Factors'!$D$40:$D$53))</f>
        <v/>
      </c>
      <c r="N20" s="51" t="str">
        <f>IF('Facility Processes'!E8="","",IF(M20=0,"",L20*((100-M20)/100)))</f>
        <v/>
      </c>
      <c r="O20" s="51" t="str">
        <f>IF('Facility Processes'!D8="","",IF(L20=MAX($L$19:$L$21),(MAX('Facility Information'!$E$32:$E$36)*1.2)*I20*(IF(M20="",(1/2000),((100-M20)/100/2000))),""))</f>
        <v/>
      </c>
      <c r="P20" s="51" t="str">
        <f>IF('Facility Processes'!D8="","",('Facility Processes'!G8)*I20*(IF(M20="",(1/2000),((100-M20)/100/2000))))</f>
        <v/>
      </c>
    </row>
    <row r="21" spans="2:16" x14ac:dyDescent="0.25">
      <c r="B21" s="48" t="str">
        <f>IF('Facility Processes'!B9="","",'Facility Processes'!B9)</f>
        <v/>
      </c>
      <c r="C21" s="48" t="str">
        <f>IF('Facility Processes'!C9="","",'Facility Processes'!C9)</f>
        <v/>
      </c>
      <c r="D21" s="49" t="str">
        <f>IF('Facility Processes'!D9="","",'Facility Processes'!D9)</f>
        <v/>
      </c>
      <c r="E21" s="49" t="str">
        <f>IF('Facility Processes'!D9="","",LOOKUP(D21,'Emission Factors'!$A$13:$A$15,'Emission Factors'!$B$13:$B$15))</f>
        <v/>
      </c>
      <c r="F21" s="48" t="str">
        <f>IF('Facility Processes'!F9="",(" "),'Facility Processes'!F9)</f>
        <v xml:space="preserve"> </v>
      </c>
      <c r="G21" s="48" t="str">
        <f>IF('Facility Processes'!D9="","",('Facility Processes'!G9))</f>
        <v/>
      </c>
      <c r="H21" s="48" t="str">
        <f>IF('Facility Processes'!F9="","","tons/hr")</f>
        <v/>
      </c>
      <c r="I21" s="48" t="str">
        <f>IF('Facility Processes'!D9="","",LOOKUP(D21,'Emission Factors'!$A$13:$A$15,'Emission Factors'!$F$13:$F$15))</f>
        <v/>
      </c>
      <c r="J21" s="48" t="str">
        <f>IF(I21="","",LOOKUP(D21,'Emission Factors'!$A$13:$A$15,'Emission Factors'!$G$13:$G$15))</f>
        <v/>
      </c>
      <c r="K21" s="48" t="str">
        <f t="shared" si="1"/>
        <v/>
      </c>
      <c r="L21" s="51" t="str">
        <f>IF('Facility Processes'!D9="","",F21*I21)</f>
        <v/>
      </c>
      <c r="M21" s="48" t="str">
        <f>IF('Facility Processes'!E9="","",LOOKUP('Facility Processes'!E9,'Emission Factors'!$A$40:$A$53,'Emission Factors'!$D$40:$D$53))</f>
        <v/>
      </c>
      <c r="N21" s="51" t="str">
        <f>IF('Facility Processes'!E9="","",IF(M21=0,"",L21*((100-M21)/100)))</f>
        <v/>
      </c>
      <c r="O21" s="51" t="str">
        <f>IF('Facility Processes'!D9="","",IF(L21=MAX($L$19:$L$21),(MAX('Facility Information'!$E$32:$E$36)*1.2)*I21*(IF(M21="",(1/2000),((100-M21)/100/2000))),""))</f>
        <v/>
      </c>
      <c r="P21" s="51" t="str">
        <f>IF('Facility Processes'!D9="","",('Facility Processes'!G9)*I21*(IF(M21="",(1/2000),((100-M21)/100/2000))))</f>
        <v/>
      </c>
    </row>
    <row r="22" spans="2:16" x14ac:dyDescent="0.25">
      <c r="B22" s="48" t="str">
        <f>IF('Facility Processes'!B14="","",'Facility Processes'!B14)</f>
        <v/>
      </c>
      <c r="C22" s="48" t="str">
        <f>IF('Facility Processes'!C14="","",'Facility Processes'!C14)</f>
        <v/>
      </c>
      <c r="D22" s="49" t="str">
        <f>IF('Facility Processes'!D14="","",'Facility Processes'!D14)</f>
        <v/>
      </c>
      <c r="E22" s="48" t="str">
        <f>IF('Facility Processes'!D14="","",LOOKUP(D22,'Emission Factors'!$A$10:$A$12,'Emission Factors'!$B$10:$B$12))</f>
        <v/>
      </c>
      <c r="F22" s="48" t="str">
        <f>IF('Facility Processes'!G14="",(" "),'Facility Processes'!G14)</f>
        <v xml:space="preserve"> </v>
      </c>
      <c r="G22" s="48" t="str">
        <f>IF('Facility Processes'!D14="","",('Facility Processes'!H14))</f>
        <v/>
      </c>
      <c r="H22" s="48" t="str">
        <f>IF('Facility Processes'!G14="","","tons/hr")</f>
        <v/>
      </c>
      <c r="I22" s="48" t="str">
        <f>IF('Facility Processes'!D14="","",LOOKUP(D22,'Emission Factors'!$A$10:$A$12,'Emission Factors'!$F$10:$F$12))</f>
        <v/>
      </c>
      <c r="J22" s="48" t="str">
        <f>IF(I8="","",LOOKUP(D8,'Emission Factors'!$A$10:$A$12,'Emission Factors'!$G$10:$G$12))</f>
        <v/>
      </c>
      <c r="K22" s="48" t="str">
        <f t="shared" si="1"/>
        <v/>
      </c>
      <c r="L22" s="51" t="str">
        <f>IF('Facility Processes'!D14="","",F22*I22)</f>
        <v/>
      </c>
      <c r="M22" s="48" t="str">
        <f>IF('Facility Processes'!A45&lt;1,"",'Facility Processes'!A45)</f>
        <v/>
      </c>
      <c r="N22" s="51" t="str">
        <f>IF('Facility Processes'!E14="","",IF(M22=0,"",L22*((100-M22)/100)))</f>
        <v/>
      </c>
      <c r="O22" s="51" t="str">
        <f>IF('Facility Processes'!D14="","",IF(L22=MAX($L$22:$L$23),(MAX('Facility Information'!$E$32:$E$36)*1.2)*I22*(IF(M22="",(1/2000),((100-M22)/100/2000))),""))</f>
        <v/>
      </c>
      <c r="P22" s="51" t="str">
        <f>IF('Facility Processes'!D14="","",('Facility Processes'!H14)*I22*(IF(M22="",(1/2000),((100-M22)/100/2000))))</f>
        <v/>
      </c>
    </row>
    <row r="23" spans="2:16" x14ac:dyDescent="0.25">
      <c r="B23" s="48" t="str">
        <f>IF('Facility Processes'!B15="","",'Facility Processes'!B15)</f>
        <v/>
      </c>
      <c r="C23" s="48" t="str">
        <f>IF('Facility Processes'!C15="","",'Facility Processes'!C15)</f>
        <v/>
      </c>
      <c r="D23" s="49" t="str">
        <f>IF('Facility Processes'!D15="","",'Facility Processes'!D15)</f>
        <v/>
      </c>
      <c r="E23" s="48" t="str">
        <f>IF('Facility Processes'!D15="","",LOOKUP(D23,'Emission Factors'!$A$10:$A$12,'Emission Factors'!$B$10:$B$12))</f>
        <v/>
      </c>
      <c r="F23" s="48" t="str">
        <f>IF('Facility Processes'!G15="",(" "),'Facility Processes'!G15)</f>
        <v xml:space="preserve"> </v>
      </c>
      <c r="G23" s="48" t="str">
        <f>IF('Facility Processes'!D15="","",('Facility Processes'!H15))</f>
        <v/>
      </c>
      <c r="H23" s="48" t="str">
        <f>IF('Facility Processes'!G15="","","tons/hr")</f>
        <v/>
      </c>
      <c r="I23" s="48" t="str">
        <f>IF('Facility Processes'!D15="","",LOOKUP(D23,'Emission Factors'!$A$10:$A$12,'Emission Factors'!$F$10:$F$12))</f>
        <v/>
      </c>
      <c r="J23" s="48" t="str">
        <f>IF(I9="","",LOOKUP(D9,'Emission Factors'!$A$10:$A$12,'Emission Factors'!$G$10:$G$12))</f>
        <v/>
      </c>
      <c r="K23" s="48" t="str">
        <f t="shared" si="1"/>
        <v/>
      </c>
      <c r="L23" s="51" t="str">
        <f>IF('Facility Processes'!D15="","",F23*I23)</f>
        <v/>
      </c>
      <c r="M23" s="48" t="str">
        <f>IF('Facility Processes'!A49&lt;1,"",'Facility Processes'!A49)</f>
        <v/>
      </c>
      <c r="N23" s="51" t="str">
        <f>IF('Facility Processes'!E15="","",IF(M23=0,"",L23*((100-M23)/100)))</f>
        <v/>
      </c>
      <c r="O23" s="51" t="str">
        <f>IF('Facility Processes'!D15="","",IF(L23=MAX($L$22:$L$23),(MAX('Facility Information'!$E$32:$E$36)*1.2)*I23*(IF(M23="",(1/2000),((100-M23)/100/2000))),""))</f>
        <v/>
      </c>
      <c r="P23" s="51" t="str">
        <f>IF('Facility Processes'!D15="","",('Facility Processes'!H15)*I23*(IF(M23="",(1/2000),((100-M23)/100/2000))))</f>
        <v/>
      </c>
    </row>
    <row r="24" spans="2:16" x14ac:dyDescent="0.25">
      <c r="B24" s="48" t="str">
        <f>IF('Facility Processes'!B20="",(" "),'Facility Processes'!B20)</f>
        <v xml:space="preserve"> </v>
      </c>
      <c r="C24" s="48" t="str">
        <f>IF('Facility Processes'!C20="",(" "),'Facility Processes'!C20)</f>
        <v xml:space="preserve"> </v>
      </c>
      <c r="D24" s="49" t="str">
        <f>IF('Facility Processes'!D20="",(" "),'Facility Processes'!D20)</f>
        <v xml:space="preserve"> </v>
      </c>
      <c r="E24" s="49" t="str">
        <f>IF('Facility Processes'!D20="","",LOOKUP(D24,'Emission Factors'!$A$7:$A$9,'Emission Factors'!$B$7:$B$9))</f>
        <v/>
      </c>
      <c r="F24" s="48" t="str">
        <f>IF('Facility Processes'!F20="",(" "),'Facility Processes'!F20)</f>
        <v xml:space="preserve"> </v>
      </c>
      <c r="G24" s="48" t="str">
        <f>IF('Facility Processes'!D20="","",('Facility Processes'!G20))</f>
        <v/>
      </c>
      <c r="H24" s="48" t="str">
        <f>IF('Facility Processes'!F20="","","tons/hr")</f>
        <v/>
      </c>
      <c r="I24" s="48" t="str">
        <f>IF('Facility Processes'!D20="","",LOOKUP(D24,'Emission Factors'!$A$7:$A$9,'Emission Factors'!$F$7:$F$9))</f>
        <v/>
      </c>
      <c r="J24" s="48" t="str">
        <f>IF(I24="","",LOOKUP(D24,'Emission Factors'!$A$7:$A$9,'Emission Factors'!$G$7:$G$9))</f>
        <v/>
      </c>
      <c r="K24" s="48" t="str">
        <f t="shared" si="1"/>
        <v/>
      </c>
      <c r="L24" s="53" t="str">
        <f>IF('Facility Processes'!D20="","",F24*I24)</f>
        <v/>
      </c>
      <c r="M24" s="48" t="str">
        <f>IF('Facility Processes'!E20="","",LOOKUP('Facility Processes'!E20,'Emission Factors'!$A$40:$A$53,'Emission Factors'!$D$40:$D$53))</f>
        <v/>
      </c>
      <c r="N24" s="51" t="str">
        <f>IF('Facility Processes'!E20="","",IF(M24=0,"",L24*((100-M24)/100)))</f>
        <v/>
      </c>
      <c r="O24" s="51" t="str">
        <f>IF('Facility Processes'!D20="","",(MAX('Facility Information'!$E$32:$E$36)*1.2)*I24*(IF(M24="",(1/2000),((100-M24)/100/2000))))</f>
        <v/>
      </c>
      <c r="P24" s="51" t="str">
        <f>IF('Facility Processes'!D20="","",('Facility Processes'!G20)*I24*(IF(M24="",(1/2000),((100-M24)/100/2000))))</f>
        <v/>
      </c>
    </row>
    <row r="25" spans="2:16" x14ac:dyDescent="0.25">
      <c r="B25" s="48" t="str">
        <f>IF('Facility Processes'!B21="",(" "),'Facility Processes'!B21)</f>
        <v xml:space="preserve"> </v>
      </c>
      <c r="C25" s="48" t="str">
        <f>IF('Facility Processes'!C21="",(" "),'Facility Processes'!C21)</f>
        <v xml:space="preserve"> </v>
      </c>
      <c r="D25" s="49" t="str">
        <f>IF('Facility Processes'!D21="",(" "),'Facility Processes'!D21)</f>
        <v xml:space="preserve"> </v>
      </c>
      <c r="E25" s="49" t="str">
        <f>IF('Facility Processes'!D21="","",LOOKUP(D25,'Emission Factors'!$A$7:$A$9,'Emission Factors'!$B$7:$B$9))</f>
        <v/>
      </c>
      <c r="F25" s="48" t="str">
        <f>IF('Facility Processes'!F21="",(" "),'Facility Processes'!F21)</f>
        <v xml:space="preserve"> </v>
      </c>
      <c r="G25" s="48" t="str">
        <f>IF('Facility Processes'!D21="","",('Facility Processes'!G21))</f>
        <v/>
      </c>
      <c r="H25" s="48" t="str">
        <f>IF('Facility Processes'!F21="","","tons/hr")</f>
        <v/>
      </c>
      <c r="I25" s="48" t="str">
        <f>IF('Facility Processes'!D21="","",LOOKUP(D25,'Emission Factors'!$A$7:$A$9,'Emission Factors'!$F$7:$F$9))</f>
        <v/>
      </c>
      <c r="J25" s="48" t="str">
        <f>IF(I25="","",LOOKUP(D25,'Emission Factors'!$A$7:$A$9,'Emission Factors'!$G$7:$G$9))</f>
        <v/>
      </c>
      <c r="K25" s="48" t="str">
        <f t="shared" si="1"/>
        <v/>
      </c>
      <c r="L25" s="53" t="str">
        <f>IF('Facility Processes'!D21="","",F25*I25)</f>
        <v/>
      </c>
      <c r="M25" s="48" t="str">
        <f>IF('Facility Processes'!E21="","",LOOKUP('Facility Processes'!E21,'Emission Factors'!$A$40:$A$53,'Emission Factors'!$D$40:$D$53))</f>
        <v/>
      </c>
      <c r="N25" s="51" t="str">
        <f>IF('Facility Processes'!E21="","",IF(M25=0,"",L25*((100-M25)/100)))</f>
        <v/>
      </c>
      <c r="O25" s="51" t="str">
        <f>IF('Facility Processes'!D21="","",(MAX('Facility Information'!$E$32:$E$36)*1.2)*I25*(IF(M25="",(1/2000),((100-M25)/100/2000))))</f>
        <v/>
      </c>
      <c r="P25" s="51" t="str">
        <f>IF('Facility Processes'!D21="","",('Facility Processes'!G21)*I25*(IF(M25="",(1/2000),((100-M25)/100/2000))))</f>
        <v/>
      </c>
    </row>
    <row r="26" spans="2:16" x14ac:dyDescent="0.25">
      <c r="B26" s="48" t="str">
        <f>IF('Facility Processes'!B22="",(" "),'Facility Processes'!B22)</f>
        <v xml:space="preserve"> </v>
      </c>
      <c r="C26" s="48" t="str">
        <f>IF('Facility Processes'!C22="",(" "),'Facility Processes'!C22)</f>
        <v xml:space="preserve"> </v>
      </c>
      <c r="D26" s="49" t="str">
        <f>IF('Facility Processes'!D22="",(" "),'Facility Processes'!D22)</f>
        <v xml:space="preserve"> </v>
      </c>
      <c r="E26" s="49" t="str">
        <f>IF('Facility Processes'!D22="","",LOOKUP(D26,'Emission Factors'!$A$7:$A$9,'Emission Factors'!$B$7:$B$9))</f>
        <v/>
      </c>
      <c r="F26" s="48" t="str">
        <f>IF('Facility Processes'!F22="",(" "),'Facility Processes'!F22)</f>
        <v xml:space="preserve"> </v>
      </c>
      <c r="G26" s="48" t="str">
        <f>IF('Facility Processes'!D22="","",('Facility Processes'!G22))</f>
        <v/>
      </c>
      <c r="H26" s="48" t="str">
        <f>IF('Facility Processes'!F22="","","tons/hr")</f>
        <v/>
      </c>
      <c r="I26" s="48" t="str">
        <f>IF('Facility Processes'!D22="","",LOOKUP(D26,'Emission Factors'!$A$7:$A$9,'Emission Factors'!$F$7:$F$9))</f>
        <v/>
      </c>
      <c r="J26" s="48" t="str">
        <f>IF(I26="","",LOOKUP(D26,'Emission Factors'!$A$7:$A$9,'Emission Factors'!$G$7:$G$9))</f>
        <v/>
      </c>
      <c r="K26" s="48" t="str">
        <f t="shared" si="1"/>
        <v/>
      </c>
      <c r="L26" s="53" t="str">
        <f>IF('Facility Processes'!D22="","",F26*I26)</f>
        <v/>
      </c>
      <c r="M26" s="48" t="str">
        <f>IF('Facility Processes'!E22="","",LOOKUP('Facility Processes'!E22,'Emission Factors'!$A$40:$A$53,'Emission Factors'!$D$40:$D$53))</f>
        <v/>
      </c>
      <c r="N26" s="51" t="str">
        <f>IF('Facility Processes'!E22="","",IF(M26=0,"",L26*((100-M26)/100)))</f>
        <v/>
      </c>
      <c r="O26" s="51" t="str">
        <f>IF('Facility Processes'!D22="","",(MAX('Facility Information'!$E$32:$E$36)*1.2)*I26*(IF(M26="",(1/2000),((100-M26)/100/2000))))</f>
        <v/>
      </c>
      <c r="P26" s="51" t="str">
        <f>IF('Facility Processes'!D22="","",('Facility Processes'!G22)*I26*(IF(M26="",(1/2000),((100-M26)/100/2000))))</f>
        <v/>
      </c>
    </row>
    <row r="27" spans="2:16" x14ac:dyDescent="0.25">
      <c r="B27" s="48" t="str">
        <f>IF('Facility Processes'!B27="",(" "),'Facility Processes'!B27)</f>
        <v xml:space="preserve"> </v>
      </c>
      <c r="C27" s="48" t="str">
        <f>IF('Facility Processes'!C27="",(" "),'Facility Processes'!C27)</f>
        <v xml:space="preserve"> </v>
      </c>
      <c r="D27" s="49" t="str">
        <f>IF('Facility Processes'!D27="",(" "),'Facility Processes'!D27)</f>
        <v xml:space="preserve"> </v>
      </c>
      <c r="E27" s="49" t="str">
        <f>IF('Facility Processes'!D27="","",LOOKUP(D27,'Emission Factors'!$A$5:$A$6,'Emission Factors'!$B$5:$B$6))</f>
        <v/>
      </c>
      <c r="F27" s="48" t="str">
        <f>IF('Facility Processes'!F27="",(" "),'Facility Processes'!F27)</f>
        <v xml:space="preserve"> </v>
      </c>
      <c r="G27" s="48" t="str">
        <f>IF('Facility Processes'!D27="","",('Facility Processes'!G27))</f>
        <v/>
      </c>
      <c r="H27" s="48" t="str">
        <f>IF('Facility Processes'!F27="","","tons/hr")</f>
        <v/>
      </c>
      <c r="I27" s="48" t="str">
        <f>IF('Facility Processes'!D27="","",LOOKUP(D27,'Emission Factors'!$A$5:$A$6,'Emission Factors'!$F$5:$F$6))</f>
        <v/>
      </c>
      <c r="J27" s="48" t="str">
        <f>IF(I27="","",LOOKUP(D27,'Emission Factors'!$A$5:$A$6,'Emission Factors'!$G$5:$G$6))</f>
        <v/>
      </c>
      <c r="K27" s="48" t="str">
        <f t="shared" si="1"/>
        <v/>
      </c>
      <c r="L27" s="51" t="str">
        <f>IF('Facility Processes'!D27="","",F27*I27)</f>
        <v/>
      </c>
      <c r="M27" s="48" t="str">
        <f>IF('Facility Processes'!E27="","",LOOKUP('Facility Processes'!E27,'Emission Factors'!$A$40:$A$53,'Emission Factors'!$D$40:$D$53))</f>
        <v/>
      </c>
      <c r="N27" s="51" t="str">
        <f>IF('Facility Processes'!E27="","",IF(M27=0,"",L27*((100-M27)/100)))</f>
        <v/>
      </c>
      <c r="O27" s="51" t="str">
        <f>IF('Facility Processes'!D27="","",IF(L27=MAX($L$27:$L$28),(MAX('Facility Information'!$E$32:$E$36)*1.2)*I27*(IF(M27="",(1/2000),((100-M27)/100/2000))),""))</f>
        <v/>
      </c>
      <c r="P27" s="51" t="str">
        <f>IF('Facility Processes'!D27="","",('Facility Processes'!G27)*I27*(IF(M27="",(1/2000),((100-M27)/100/2000))))</f>
        <v/>
      </c>
    </row>
    <row r="28" spans="2:16" x14ac:dyDescent="0.25">
      <c r="B28" s="48" t="str">
        <f>IF('Facility Processes'!B28="",(" "),'Facility Processes'!B28)</f>
        <v xml:space="preserve"> </v>
      </c>
      <c r="C28" s="48" t="str">
        <f>IF('Facility Processes'!C28="",(" "),'Facility Processes'!C28)</f>
        <v xml:space="preserve"> </v>
      </c>
      <c r="D28" s="49" t="str">
        <f>IF('Facility Processes'!D28="",(" "),'Facility Processes'!D28)</f>
        <v xml:space="preserve"> </v>
      </c>
      <c r="E28" s="49" t="str">
        <f>IF('Facility Processes'!D28="","",LOOKUP(D28,'Emission Factors'!$A$5:$A$6,'Emission Factors'!$B$5:$B$6))</f>
        <v/>
      </c>
      <c r="F28" s="48" t="str">
        <f>IF('Facility Processes'!F28="",(" "),'Facility Processes'!F28)</f>
        <v xml:space="preserve"> </v>
      </c>
      <c r="G28" s="48" t="str">
        <f>IF('Facility Processes'!D28="","",('Facility Processes'!G28))</f>
        <v/>
      </c>
      <c r="H28" s="48" t="str">
        <f>IF('Facility Processes'!F28="","","tons/hr")</f>
        <v/>
      </c>
      <c r="I28" s="48" t="str">
        <f>IF('Facility Processes'!D28="","",LOOKUP(D28,'Emission Factors'!$A$5:$A$6,'Emission Factors'!$F$5:$F$6))</f>
        <v/>
      </c>
      <c r="J28" s="48" t="str">
        <f>IF(I28="","",LOOKUP(D28,'Emission Factors'!$A$5:$A$6,'Emission Factors'!$G$5:$G$6))</f>
        <v/>
      </c>
      <c r="K28" s="48" t="str">
        <f t="shared" si="1"/>
        <v/>
      </c>
      <c r="L28" s="51" t="str">
        <f>IF('Facility Processes'!D28="","",F28*I28)</f>
        <v/>
      </c>
      <c r="M28" s="48" t="str">
        <f>IF('Facility Processes'!E28="","",LOOKUP('Facility Processes'!E28,'Emission Factors'!$A$40:$A$53,'Emission Factors'!$D$40:$D$53))</f>
        <v/>
      </c>
      <c r="N28" s="51" t="str">
        <f>IF('Facility Processes'!E28="","",IF(M28=0,"",L28*((100-M28)/100)))</f>
        <v/>
      </c>
      <c r="O28" s="51" t="str">
        <f>IF('Facility Processes'!D28="","",IF(L28=MAX($L$27:$L$28),(MAX('Facility Information'!$E$32:$E$36)*1.2)*I28*(IF(M28="",(1/2000),((100-M28)/100/2000))),""))</f>
        <v/>
      </c>
      <c r="P28" s="51" t="str">
        <f>IF('Facility Processes'!D28="","",('Facility Processes'!G28)*I28*(IF(M28="",(1/2000),((100-M28)/100/2000))))</f>
        <v/>
      </c>
    </row>
    <row r="29" spans="2:16" s="19" customFormat="1" x14ac:dyDescent="0.25">
      <c r="B29" s="48" t="str">
        <f>IF('Facility Processes'!B39="","",'Facility Processes'!B39)</f>
        <v/>
      </c>
      <c r="C29" s="48" t="str">
        <f>IF('Facility Processes'!C39="","",'Facility Processes'!C39)</f>
        <v/>
      </c>
      <c r="D29" s="49" t="str">
        <f>IF('Facility Processes'!F39="","",'Facility Processes'!D39)</f>
        <v/>
      </c>
      <c r="E29" s="49" t="str">
        <f>IF('Facility Processes'!F39="","","30205054")</f>
        <v/>
      </c>
      <c r="F29" s="48" t="str">
        <f>IF(I29="","",'Facility Processes'!E44*'Facility Processes'!J39/8760)</f>
        <v/>
      </c>
      <c r="G29" s="93" t="str">
        <f>IF(I29="","",'Facility Processes'!E45*'Facility Processes'!J39)</f>
        <v/>
      </c>
      <c r="H29" s="48" t="str">
        <f>IF(I29="","","vmt/hr")</f>
        <v/>
      </c>
      <c r="I29" s="48" t="str">
        <f>IF('Facility Processes'!F39="","",(1.5*(('Facility Processes'!E46/12)^0.9)*(('Facility Processes'!E42/3)^0.45)*((365-'Facility Processes'!E47)/365)))</f>
        <v/>
      </c>
      <c r="J29" s="48" t="str">
        <f>IF(I29="","","lb/vmt")</f>
        <v/>
      </c>
      <c r="K29" s="48" t="str">
        <f>IF(I29="","","AP-42")</f>
        <v/>
      </c>
      <c r="L29" s="51" t="str">
        <f>IF(I29="","",O29*2000/8760)</f>
        <v/>
      </c>
      <c r="M29" s="48" t="str">
        <f>IF('Facility Processes'!E39="","",'Emission Factors'!$B$31)</f>
        <v/>
      </c>
      <c r="N29" s="51" t="str">
        <f>IF(M29="","",O29*((100-M29)/100)*2000/8760)</f>
        <v/>
      </c>
      <c r="O29" s="51" t="str">
        <f>IF(I29="","",IF(M29="",I29*'Facility Processes'!E44*'Facility Processes'!J39/2000,I29*'Facility Processes'!E44*'Facility Processes'!J39/2000*(100-M29)/100))</f>
        <v/>
      </c>
      <c r="P29" s="51" t="str">
        <f>IF(I29="","",IF(M29="",'Facility Processes'!E45*'Facility Processes'!J39*I29/2000,'Facility Processes'!E45*'Facility Processes'!J39*I29/2000*((100-M29)/100)))</f>
        <v/>
      </c>
    </row>
    <row r="30" spans="2:16" x14ac:dyDescent="0.25">
      <c r="B30" s="47"/>
      <c r="C30" s="47"/>
      <c r="D30" s="46"/>
      <c r="E30" s="46"/>
      <c r="F30" s="47"/>
      <c r="G30" s="47"/>
      <c r="H30" s="47"/>
      <c r="I30" s="47"/>
      <c r="J30" s="47"/>
      <c r="K30" s="164"/>
      <c r="L30" s="165"/>
      <c r="M30" s="163" t="s">
        <v>74</v>
      </c>
      <c r="O30" s="51" t="str">
        <f>IF(SUM(O19:O29)&gt;0,50,"0.00")</f>
        <v>0.00</v>
      </c>
      <c r="P30" s="51">
        <f>SUM(P19:P29)</f>
        <v>0</v>
      </c>
    </row>
    <row r="31" spans="2:16" x14ac:dyDescent="0.25">
      <c r="B31" s="47"/>
      <c r="C31" s="47"/>
      <c r="D31" s="46"/>
      <c r="E31" s="46"/>
      <c r="F31" s="47"/>
      <c r="G31" s="47"/>
      <c r="H31" s="47"/>
      <c r="I31" s="47"/>
      <c r="J31" s="47"/>
      <c r="K31" s="47"/>
      <c r="L31" s="55" t="s">
        <v>75</v>
      </c>
      <c r="O31" s="52"/>
      <c r="P31" s="52"/>
    </row>
    <row r="32" spans="2:16" x14ac:dyDescent="0.25">
      <c r="B32" s="47"/>
      <c r="C32" s="47"/>
      <c r="D32" s="46"/>
      <c r="E32" s="46"/>
      <c r="F32" s="47"/>
      <c r="G32" s="47"/>
      <c r="H32" s="47"/>
      <c r="I32" s="47"/>
      <c r="J32" s="47"/>
      <c r="K32" s="47"/>
      <c r="L32" s="54"/>
      <c r="M32" s="47"/>
      <c r="N32" s="55"/>
      <c r="O32" s="52"/>
      <c r="P32" s="52"/>
    </row>
    <row r="33" spans="1:16" s="167" customFormat="1" ht="33" customHeight="1" x14ac:dyDescent="0.25">
      <c r="B33" s="157" t="s">
        <v>48</v>
      </c>
      <c r="C33" s="157" t="s">
        <v>49</v>
      </c>
      <c r="D33" s="152" t="s">
        <v>50</v>
      </c>
      <c r="E33" s="157" t="s">
        <v>42</v>
      </c>
      <c r="F33" s="152" t="s">
        <v>47</v>
      </c>
      <c r="G33" s="152" t="s">
        <v>169</v>
      </c>
      <c r="H33" s="152" t="s">
        <v>102</v>
      </c>
      <c r="I33" s="152" t="s">
        <v>51</v>
      </c>
      <c r="J33" s="152" t="s">
        <v>102</v>
      </c>
      <c r="K33" s="152" t="s">
        <v>103</v>
      </c>
      <c r="L33" s="152" t="s">
        <v>54</v>
      </c>
      <c r="M33" s="152" t="s">
        <v>55</v>
      </c>
      <c r="N33" s="152" t="s">
        <v>53</v>
      </c>
      <c r="O33" s="152" t="s">
        <v>52</v>
      </c>
      <c r="P33" s="152" t="s">
        <v>58</v>
      </c>
    </row>
    <row r="34" spans="1:16" ht="18.75" x14ac:dyDescent="0.3">
      <c r="B34" s="44" t="s">
        <v>33</v>
      </c>
      <c r="C34" s="46"/>
      <c r="D34" s="46"/>
      <c r="E34" s="46"/>
      <c r="F34" s="47"/>
      <c r="G34" s="47"/>
      <c r="H34" s="47"/>
      <c r="I34" s="47"/>
      <c r="J34" s="47"/>
      <c r="K34" s="47"/>
      <c r="L34" s="54"/>
      <c r="M34" s="47"/>
      <c r="N34" s="52"/>
      <c r="O34" s="52"/>
      <c r="P34" s="52"/>
    </row>
    <row r="35" spans="1:16" x14ac:dyDescent="0.25">
      <c r="A35" s="19" t="str">
        <f>IF(D35="propane combustion",90.5,IF(D35="natural gas combustion",1050,""))</f>
        <v/>
      </c>
      <c r="B35" s="56" t="str">
        <f>IF('Facility Processes'!B33="","",'Facility Processes'!B33)</f>
        <v/>
      </c>
      <c r="C35" s="56" t="str">
        <f>IF('Facility Processes'!C33="","",'Facility Processes'!C33)</f>
        <v/>
      </c>
      <c r="D35" s="49" t="str">
        <f>IF('Facility Processes'!D33="","",'Facility Processes'!D33)</f>
        <v/>
      </c>
      <c r="E35" s="48" t="str">
        <f>IF('Facility Processes'!D33="","",LOOKUP(D35,'Emission Factors'!$A$16,'Emission Factors'!$B$16))</f>
        <v/>
      </c>
      <c r="F35" s="48" t="str">
        <f>IF('Facility Processes'!E33="",(" "),'Facility Processes'!E33)</f>
        <v xml:space="preserve"> </v>
      </c>
      <c r="G35" s="48" t="str">
        <f>IF('Facility Processes'!D33="","",('Facility Processes'!G33))</f>
        <v/>
      </c>
      <c r="H35" s="48" t="str">
        <f>IF('Facility Processes'!D33="","",'Facility Processes'!F33)</f>
        <v/>
      </c>
      <c r="I35" s="48" t="str">
        <f>IF('Facility Processes'!D33="","",LOOKUP(D35,'Emission Factors'!$A$16:$A$17,'Emission Factors'!$H$16:$H$17))</f>
        <v/>
      </c>
      <c r="J35" s="48" t="str">
        <f>IF('Facility Processes'!D33="","",LOOKUP(D35,'Emission Factors'!$A$16:$A$17,'Emission Factors'!$I$16:$I$17))</f>
        <v/>
      </c>
      <c r="K35" s="48" t="str">
        <f>IF(I35="","","AP-42")</f>
        <v/>
      </c>
      <c r="L35" s="53" t="str">
        <f>IF('Facility Processes'!D33="","",F35*I35)</f>
        <v/>
      </c>
      <c r="M35" s="48"/>
      <c r="N35" s="51"/>
      <c r="O35" s="51" t="str">
        <f>IF('Facility Processes'!D33="","",IF(L35&gt;=L36,(MAX('Facility Information'!$E$32:$E$36)*1.2)*0.607/A35*I35/2000,""))</f>
        <v/>
      </c>
      <c r="P35" s="51" t="str">
        <f>IF('Facility Processes'!D33="","",('Facility Processes'!G33)*I35*(IF(M35="",(1/2000),((100-M35)/100/2000))))</f>
        <v/>
      </c>
    </row>
    <row r="36" spans="1:16" x14ac:dyDescent="0.25">
      <c r="A36" s="19" t="str">
        <f>IF(D36="propane combustion",90.5,IF(D36="natural gas combustion",1050,""))</f>
        <v/>
      </c>
      <c r="B36" s="56" t="str">
        <f>IF('Facility Processes'!B34="","",'Facility Processes'!B34)</f>
        <v/>
      </c>
      <c r="C36" s="56" t="str">
        <f>IF('Facility Processes'!C34="","",'Facility Processes'!C34)</f>
        <v/>
      </c>
      <c r="D36" s="49" t="str">
        <f>IF('Facility Processes'!D34="","",'Facility Processes'!D34)</f>
        <v/>
      </c>
      <c r="E36" s="48" t="str">
        <f>IF('Facility Processes'!D34="","",LOOKUP(D36,'Emission Factors'!$A$16,'Emission Factors'!$B$16))</f>
        <v/>
      </c>
      <c r="F36" s="48" t="str">
        <f>IF('Facility Processes'!E34="",(" "),'Facility Processes'!E34)</f>
        <v xml:space="preserve"> </v>
      </c>
      <c r="G36" s="48" t="str">
        <f>IF('Facility Processes'!D34="","",('Facility Processes'!G34))</f>
        <v/>
      </c>
      <c r="H36" s="48" t="str">
        <f>IF('Facility Processes'!D34="","",'Facility Processes'!F34)</f>
        <v/>
      </c>
      <c r="I36" s="48" t="str">
        <f>IF('Facility Processes'!D34="","",LOOKUP(D36,'Emission Factors'!$A$16:$A$17,'Emission Factors'!$H$16:$H$17))</f>
        <v/>
      </c>
      <c r="J36" s="48" t="str">
        <f>IF('Facility Processes'!D34="","",LOOKUP(D36,'Emission Factors'!$A$16:$A$17,'Emission Factors'!$I$16:$I$17))</f>
        <v/>
      </c>
      <c r="K36" s="48" t="str">
        <f>IF(I36="","","AP-42")</f>
        <v/>
      </c>
      <c r="L36" s="53">
        <f>IF('Facility Processes'!D34="",0,F36*I36)</f>
        <v>0</v>
      </c>
      <c r="M36" s="48"/>
      <c r="N36" s="51"/>
      <c r="O36" s="51" t="str">
        <f>IF('Facility Processes'!D34="","",IF(L36&gt;L35,(MAX('Facility Information'!$E$32:$E$36)*1.2)*0.607/A36*I36/2000,""))</f>
        <v/>
      </c>
      <c r="P36" s="51" t="str">
        <f>IF('Facility Processes'!D34="","",('Facility Processes'!G34)*I36*(IF(M36="",(1/2000),((100-M36)/100/2000))))</f>
        <v/>
      </c>
    </row>
    <row r="37" spans="1:16" ht="18.75" x14ac:dyDescent="0.3">
      <c r="B37" s="44" t="s">
        <v>67</v>
      </c>
      <c r="C37" s="46"/>
      <c r="D37" s="46"/>
      <c r="E37" s="46"/>
      <c r="F37" s="47"/>
      <c r="G37" s="47"/>
      <c r="H37" s="47"/>
      <c r="I37" s="47"/>
      <c r="J37" s="47"/>
      <c r="K37" s="47"/>
      <c r="L37" s="54"/>
      <c r="M37" s="47"/>
      <c r="N37" s="52"/>
      <c r="O37" s="52"/>
      <c r="P37" s="52"/>
    </row>
    <row r="38" spans="1:16" x14ac:dyDescent="0.25">
      <c r="B38" s="56" t="str">
        <f>IF('Facility Processes'!B33="","",'Facility Processes'!B33)</f>
        <v/>
      </c>
      <c r="C38" s="56" t="str">
        <f>IF('Facility Processes'!C33="","",'Facility Processes'!C33)</f>
        <v/>
      </c>
      <c r="D38" s="49" t="str">
        <f>IF('Facility Processes'!D33="","",'Facility Processes'!D33)</f>
        <v/>
      </c>
      <c r="E38" s="48" t="str">
        <f>IF('Facility Processes'!D33="","",LOOKUP(D38,'Emission Factors'!$A$16,'Emission Factors'!$B$16))</f>
        <v/>
      </c>
      <c r="F38" s="48" t="str">
        <f>IF('Facility Processes'!E33="",(" "),'Facility Processes'!E33)</f>
        <v xml:space="preserve"> </v>
      </c>
      <c r="G38" s="48" t="str">
        <f>IF('Facility Processes'!D33="","",('Facility Processes'!G33))</f>
        <v/>
      </c>
      <c r="H38" s="48" t="str">
        <f>IF('Facility Processes'!D33="","",'Facility Processes'!F33)</f>
        <v/>
      </c>
      <c r="I38" s="48" t="str">
        <f>IF('Facility Processes'!D33="","",LOOKUP(D38,'Emission Factors'!$A$16:$A$17,'Emission Factors'!$J$16:$J$17))</f>
        <v/>
      </c>
      <c r="J38" s="48" t="str">
        <f>IF('Facility Processes'!D33="","",LOOKUP(D35,'Emission Factors'!$A$16:$A$17,'Emission Factors'!$K$16:$K$17))</f>
        <v/>
      </c>
      <c r="K38" s="48" t="str">
        <f>IF(I38="","","AP-42")</f>
        <v/>
      </c>
      <c r="L38" s="53" t="str">
        <f>IF('Facility Processes'!D33="","",F38*I38)</f>
        <v/>
      </c>
      <c r="M38" s="48"/>
      <c r="N38" s="51"/>
      <c r="O38" s="51" t="str">
        <f>IF('Facility Processes'!D33="","",IF(L38&gt;=L39,(MAX('Facility Information'!$E$32:$E$36)*1.2)*0.607/A35*I38/2000,""))</f>
        <v/>
      </c>
      <c r="P38" s="51" t="str">
        <f>IF('Facility Processes'!D33="","",('Facility Processes'!G33)*I38*(IF(M38="",(1/2000),((100-M38)/100/2000))))</f>
        <v/>
      </c>
    </row>
    <row r="39" spans="1:16" x14ac:dyDescent="0.25">
      <c r="B39" s="56" t="str">
        <f>IF('Facility Processes'!B34="","",'Facility Processes'!B34)</f>
        <v/>
      </c>
      <c r="C39" s="56" t="str">
        <f>IF('Facility Processes'!C34="","",'Facility Processes'!C34)</f>
        <v/>
      </c>
      <c r="D39" s="49" t="str">
        <f>IF('Facility Processes'!D34="","",'Facility Processes'!D34)</f>
        <v/>
      </c>
      <c r="E39" s="48" t="str">
        <f>IF('Facility Processes'!D34="","",LOOKUP(D39,'Emission Factors'!$A$16,'Emission Factors'!$B$16))</f>
        <v/>
      </c>
      <c r="F39" s="48" t="str">
        <f>IF('Facility Processes'!E34="",(" "),'Facility Processes'!E34)</f>
        <v xml:space="preserve"> </v>
      </c>
      <c r="G39" s="48" t="str">
        <f>IF('Facility Processes'!D34="","",('Facility Processes'!G34))</f>
        <v/>
      </c>
      <c r="H39" s="48" t="str">
        <f>IF('Facility Processes'!D34="","",'Facility Processes'!F34)</f>
        <v/>
      </c>
      <c r="I39" s="48" t="str">
        <f>IF('Facility Processes'!D34="","",LOOKUP(D39,'Emission Factors'!$A$16:$A$17,'Emission Factors'!$J$16:$J$17))</f>
        <v/>
      </c>
      <c r="J39" s="48" t="str">
        <f>IF('Facility Processes'!D34="","",LOOKUP(D36,'Emission Factors'!$A$16:$A$17,'Emission Factors'!$K$16:$K$17))</f>
        <v/>
      </c>
      <c r="K39" s="48" t="str">
        <f>IF(I39="","","AP-42")</f>
        <v/>
      </c>
      <c r="L39" s="53">
        <f>IF('Facility Processes'!D34="",0,F39*I39)</f>
        <v>0</v>
      </c>
      <c r="M39" s="48"/>
      <c r="N39" s="51"/>
      <c r="O39" s="51" t="str">
        <f>IF('Facility Processes'!D34="","",IF(L39&gt;L38,(MAX('Facility Information'!$E$32:$E$36)*1.2)*0.607/A36*I39/2000,""))</f>
        <v/>
      </c>
      <c r="P39" s="51" t="str">
        <f>IF('Facility Processes'!D34="","",('Facility Processes'!G34)*I39*(IF(M39="",(1/2000),((100-M39)/100/2000))))</f>
        <v/>
      </c>
    </row>
    <row r="40" spans="1:16" ht="18.75" x14ac:dyDescent="0.3">
      <c r="B40" s="44" t="s">
        <v>35</v>
      </c>
      <c r="C40" s="46"/>
      <c r="D40" s="46"/>
      <c r="E40" s="46"/>
      <c r="F40" s="47"/>
      <c r="G40" s="47"/>
      <c r="H40" s="47"/>
      <c r="I40" s="47"/>
      <c r="J40" s="47"/>
      <c r="K40" s="47"/>
      <c r="L40" s="54"/>
      <c r="M40" s="47"/>
      <c r="N40" s="52"/>
      <c r="O40" s="52"/>
      <c r="P40" s="52"/>
    </row>
    <row r="41" spans="1:16" x14ac:dyDescent="0.25">
      <c r="B41" s="56" t="str">
        <f>IF('Facility Processes'!B33="","",'Facility Processes'!B33)</f>
        <v/>
      </c>
      <c r="C41" s="56" t="str">
        <f>IF('Facility Processes'!C33="","",'Facility Processes'!C33)</f>
        <v/>
      </c>
      <c r="D41" s="49" t="str">
        <f>IF('Facility Processes'!D33="","",'Facility Processes'!D33)</f>
        <v/>
      </c>
      <c r="E41" s="48" t="str">
        <f>IF('Facility Processes'!D33="","",LOOKUP(D41,'Emission Factors'!$A$16,'Emission Factors'!$B$16))</f>
        <v/>
      </c>
      <c r="F41" s="48" t="str">
        <f>IF('Facility Processes'!E33="",(" "),'Facility Processes'!E33)</f>
        <v xml:space="preserve"> </v>
      </c>
      <c r="G41" s="48" t="str">
        <f>IF('Facility Processes'!D33="","",('Facility Processes'!G33))</f>
        <v/>
      </c>
      <c r="H41" s="48" t="str">
        <f>IF('Facility Processes'!D33="","",'Facility Processes'!F33)</f>
        <v/>
      </c>
      <c r="I41" s="48" t="str">
        <f>IF('Facility Processes'!D33="","",LOOKUP(D41,'Emission Factors'!$A$16:$A$17,'Emission Factors'!$L$16:$L$17))</f>
        <v/>
      </c>
      <c r="J41" s="48" t="str">
        <f>IF('Facility Processes'!D33="","",LOOKUP(D38,'Emission Factors'!$A$16:$A$17,'Emission Factors'!$M$16:$M$17))</f>
        <v/>
      </c>
      <c r="K41" s="48" t="str">
        <f>IF(I41="","","AP-42")</f>
        <v/>
      </c>
      <c r="L41" s="53" t="str">
        <f>IF('Facility Processes'!D33="","",F41*I41)</f>
        <v/>
      </c>
      <c r="M41" s="48"/>
      <c r="N41" s="51"/>
      <c r="O41" s="51" t="str">
        <f>IF('Facility Processes'!D33="","",IF(L41&gt;=L42,(MAX('Facility Information'!$E$32:$E$36)*1.2)*0.607/A35*I41/2000,""))</f>
        <v/>
      </c>
      <c r="P41" s="51" t="str">
        <f>IF('Facility Processes'!D33="","",('Facility Processes'!G33)*I41*(IF(M41="",(1/2000),((100-M41)/100/2000))))</f>
        <v/>
      </c>
    </row>
    <row r="42" spans="1:16" x14ac:dyDescent="0.25">
      <c r="B42" s="56" t="str">
        <f>IF('Facility Processes'!B34="","",'Facility Processes'!B34)</f>
        <v/>
      </c>
      <c r="C42" s="56" t="str">
        <f>IF('Facility Processes'!C34="","",'Facility Processes'!C34)</f>
        <v/>
      </c>
      <c r="D42" s="49" t="str">
        <f>IF('Facility Processes'!D34="","",'Facility Processes'!D34)</f>
        <v/>
      </c>
      <c r="E42" s="48" t="str">
        <f>IF('Facility Processes'!D34="","",LOOKUP(D42,'Emission Factors'!$A$16,'Emission Factors'!$B$16))</f>
        <v/>
      </c>
      <c r="F42" s="48" t="str">
        <f>IF('Facility Processes'!E34="",(" "),'Facility Processes'!E34)</f>
        <v xml:space="preserve"> </v>
      </c>
      <c r="G42" s="48" t="str">
        <f>IF('Facility Processes'!D34="","",('Facility Processes'!G34))</f>
        <v/>
      </c>
      <c r="H42" s="48" t="str">
        <f>IF('Facility Processes'!D34="","",'Facility Processes'!F34)</f>
        <v/>
      </c>
      <c r="I42" s="48" t="str">
        <f>IF('Facility Processes'!D34="","",LOOKUP(D42,'Emission Factors'!$A$16:$A$17,'Emission Factors'!$L$16:$L$17))</f>
        <v/>
      </c>
      <c r="J42" s="48" t="str">
        <f>IF('Facility Processes'!D34="","",LOOKUP(D39,'Emission Factors'!$A$16:$A$17,'Emission Factors'!$M$16:$M$17))</f>
        <v/>
      </c>
      <c r="K42" s="48" t="str">
        <f>IF(I42="","","AP-42")</f>
        <v/>
      </c>
      <c r="L42" s="53">
        <f>IF('Facility Processes'!D34="",0,F42*I42)</f>
        <v>0</v>
      </c>
      <c r="M42" s="48"/>
      <c r="N42" s="51"/>
      <c r="O42" s="51" t="str">
        <f>IF('Facility Processes'!D34="","",IF(L42&gt;L41,(MAX('Facility Information'!$E$32:$E$36)*1.2)*0.607/A36*I42/2000,""))</f>
        <v/>
      </c>
      <c r="P42" s="51" t="str">
        <f>IF('Facility Processes'!D34="","",('Facility Processes'!G34)*I42*(IF(M42="",(1/2000),((100-M42)/100/2000))))</f>
        <v/>
      </c>
    </row>
    <row r="43" spans="1:16" ht="18.75" x14ac:dyDescent="0.3">
      <c r="B43" s="44" t="s">
        <v>36</v>
      </c>
      <c r="C43" s="46"/>
      <c r="D43" s="46"/>
      <c r="E43" s="46"/>
      <c r="F43" s="47"/>
      <c r="G43" s="47"/>
      <c r="H43" s="47"/>
      <c r="I43" s="47"/>
      <c r="J43" s="47"/>
      <c r="K43" s="47"/>
      <c r="L43" s="54"/>
      <c r="M43" s="47"/>
      <c r="N43" s="52"/>
      <c r="O43" s="52"/>
      <c r="P43" s="52"/>
    </row>
    <row r="44" spans="1:16" x14ac:dyDescent="0.25">
      <c r="B44" s="56" t="str">
        <f>IF('Facility Processes'!B33="","",'Facility Processes'!B33)</f>
        <v/>
      </c>
      <c r="C44" s="56" t="str">
        <f>IF('Facility Processes'!C33="","",'Facility Processes'!C33)</f>
        <v/>
      </c>
      <c r="D44" s="49" t="str">
        <f>IF('Facility Processes'!D33="","",'Facility Processes'!D33)</f>
        <v/>
      </c>
      <c r="E44" s="48" t="str">
        <f>IF('Facility Processes'!D33="","",LOOKUP(D44,'Emission Factors'!$A$16,'Emission Factors'!$B$16))</f>
        <v/>
      </c>
      <c r="F44" s="48" t="str">
        <f>IF('Facility Processes'!E33="",(" "),'Facility Processes'!E33)</f>
        <v xml:space="preserve"> </v>
      </c>
      <c r="G44" s="48" t="str">
        <f>IF('Facility Processes'!D33="","",('Facility Processes'!G33))</f>
        <v/>
      </c>
      <c r="H44" s="48" t="str">
        <f>IF('Facility Processes'!D33="","",'Facility Processes'!F33)</f>
        <v/>
      </c>
      <c r="I44" s="48" t="str">
        <f>IF('Facility Processes'!D33="","",LOOKUP(D44,'Emission Factors'!$A$16:$A$17,'Emission Factors'!$N16:$N$17))</f>
        <v/>
      </c>
      <c r="J44" s="48" t="str">
        <f>IF('Facility Processes'!D33="","",LOOKUP(D41,'Emission Factors'!$A$16:$A$17,'Emission Factors'!$O$16:$O$17))</f>
        <v/>
      </c>
      <c r="K44" s="48" t="str">
        <f>IF(I44="","","AP-42")</f>
        <v/>
      </c>
      <c r="L44" s="53" t="str">
        <f>IF('Facility Processes'!D33="","",F44*I44)</f>
        <v/>
      </c>
      <c r="M44" s="48"/>
      <c r="N44" s="51"/>
      <c r="O44" s="51" t="str">
        <f>IF('Facility Processes'!D33="","",IF(L44&gt;=L45,(MAX('Facility Information'!$E$32:$E$36)*1.2)*0.607/A35*I44/2000,""))</f>
        <v/>
      </c>
      <c r="P44" s="51" t="str">
        <f>IF('Facility Processes'!D33="","",('Facility Processes'!G33)*I44*(IF(M44="",(1/2000),((100-M44)/100/2000))))</f>
        <v/>
      </c>
    </row>
    <row r="45" spans="1:16" x14ac:dyDescent="0.25">
      <c r="B45" s="56" t="str">
        <f>IF('Facility Processes'!B34="","",'Facility Processes'!B34)</f>
        <v/>
      </c>
      <c r="C45" s="56" t="str">
        <f>IF('Facility Processes'!C34="","",'Facility Processes'!C34)</f>
        <v/>
      </c>
      <c r="D45" s="49" t="str">
        <f>IF('Facility Processes'!D34="","",'Facility Processes'!D34)</f>
        <v/>
      </c>
      <c r="E45" s="48" t="str">
        <f>IF('Facility Processes'!D34="","",LOOKUP(D45,'Emission Factors'!$A$16,'Emission Factors'!$B$16))</f>
        <v/>
      </c>
      <c r="F45" s="48" t="str">
        <f>IF('Facility Processes'!E34="",(" "),'Facility Processes'!E34)</f>
        <v xml:space="preserve"> </v>
      </c>
      <c r="G45" s="48" t="str">
        <f>IF('Facility Processes'!D34="","",('Facility Processes'!G34))</f>
        <v/>
      </c>
      <c r="H45" s="48" t="str">
        <f>IF('Facility Processes'!D34="","",'Facility Processes'!F34)</f>
        <v/>
      </c>
      <c r="I45" s="48" t="str">
        <f>IF('Facility Processes'!D34="","",LOOKUP(D45,'Emission Factors'!$A$16:$A$17,'Emission Factors'!$N16:$N$17))</f>
        <v/>
      </c>
      <c r="J45" s="48" t="str">
        <f>IF('Facility Processes'!D34="","",LOOKUP(D42,'Emission Factors'!$A$16:$A$17,'Emission Factors'!$O$16:$O$17))</f>
        <v/>
      </c>
      <c r="K45" s="48" t="str">
        <f>IF(I45="","","AP-42")</f>
        <v/>
      </c>
      <c r="L45" s="53">
        <f>IF('Facility Processes'!D34="",0,F45*I45)</f>
        <v>0</v>
      </c>
      <c r="M45" s="48"/>
      <c r="N45" s="51"/>
      <c r="O45" s="51" t="str">
        <f>IF('Facility Processes'!D34="","",IF(L45&gt;L44,(MAX('Facility Information'!$E$32:$E$36)*1.2)*0.607/A36*I45/2000,""))</f>
        <v/>
      </c>
      <c r="P45" s="51" t="str">
        <f>IF('Facility Processes'!D34="","",('Facility Processes'!G34)*I45*(IF(M45="",(1/2000),((100-M45)/100/2000))))</f>
        <v/>
      </c>
    </row>
    <row r="46" spans="1:16" ht="18.75" x14ac:dyDescent="0.3">
      <c r="B46" s="44" t="s">
        <v>37</v>
      </c>
      <c r="C46" s="46"/>
      <c r="D46" s="46"/>
      <c r="E46" s="46"/>
      <c r="F46" s="47"/>
      <c r="G46" s="47"/>
      <c r="H46" s="47"/>
      <c r="I46" s="47"/>
      <c r="J46" s="47"/>
      <c r="K46" s="47"/>
      <c r="L46" s="54"/>
      <c r="M46" s="47"/>
      <c r="N46" s="52"/>
      <c r="O46" s="52"/>
      <c r="P46" s="52"/>
    </row>
    <row r="47" spans="1:16" x14ac:dyDescent="0.25">
      <c r="B47" s="56" t="str">
        <f>IF('Facility Processes'!D33="","",IF('Facility Processes'!D33="Propane Combustion","",'Facility Processes'!B33))</f>
        <v/>
      </c>
      <c r="C47" s="56" t="str">
        <f>IF('Facility Processes'!D33="","",IF('Facility Processes'!D33="Propane Combustion","",'Facility Processes'!C33))</f>
        <v/>
      </c>
      <c r="D47" s="49" t="str">
        <f>IF('Facility Processes'!D33="","",IF('Facility Processes'!D33="Propane Combustion","",'Facility Processes'!D33))</f>
        <v/>
      </c>
      <c r="E47" s="48" t="str">
        <f>IF('Facility Processes'!D33="","",IF('Facility Processes'!D33="Propane Combustion","",LOOKUP(D47,'Emission Factors'!$A$16,'Emission Factors'!$B$16)))</f>
        <v/>
      </c>
      <c r="F47" s="48" t="str">
        <f>IF('Facility Processes'!D33="","",IF('Facility Processes'!D33="Propane Combustion","",'Facility Processes'!E33))</f>
        <v/>
      </c>
      <c r="G47" s="48" t="str">
        <f>IF('Facility Processes'!D33="","",('Facility Processes'!G33))</f>
        <v/>
      </c>
      <c r="H47" s="48" t="str">
        <f>IF('Facility Processes'!D33="","",IF('Facility Processes'!D33="Propane Combustion","",'Facility Processes'!F33))</f>
        <v/>
      </c>
      <c r="I47" s="48" t="str">
        <f>IF('Facility Processes'!D33="","",IF('Facility Processes'!D33="Propane Combustion","",LOOKUP(D47,'Emission Factors'!$A$16:$A$17,'Emission Factors'!$P$16:$P$17)))</f>
        <v/>
      </c>
      <c r="J47" s="48" t="str">
        <f>IF('Facility Processes'!D33="","",IF('Facility Processes'!D33="Propane Combustion","",LOOKUP(D47,'Emission Factors'!$A$16:$A$17,'Emission Factors'!$Q$16:$Q$17)))</f>
        <v/>
      </c>
      <c r="K47" s="48" t="str">
        <f>IF('Facility Processes'!D33="","",IF('Facility Processes'!D33="Propane Combustion","","AP-42"))</f>
        <v/>
      </c>
      <c r="L47" s="53" t="str">
        <f>IF('Facility Processes'!D33="","",IF('Facility Processes'!D33="Propane Combustion","",F47*I47))</f>
        <v/>
      </c>
      <c r="M47" s="48"/>
      <c r="N47" s="51"/>
      <c r="O47" s="51" t="str">
        <f>IF('Facility Processes'!D33="","",IF('Facility Processes'!D33="Propane Combustion","",IF(L47&gt;=L48,(MAX('Facility Information'!$E$32:$E$36)*1.2)*0.607/1050*I47/2000,"")))</f>
        <v/>
      </c>
      <c r="P47" s="51" t="str">
        <f>IF('Facility Processes'!D33="","",IF('Facility Processes'!D33="Propane Combustion","",('Facility Processes'!G33)*I47*(IF(M47="",(1/2000),((100-M47)/100/2000)))))</f>
        <v/>
      </c>
    </row>
    <row r="48" spans="1:16" x14ac:dyDescent="0.25">
      <c r="B48" s="56" t="str">
        <f>IF('Facility Processes'!D34="","",IF('Facility Processes'!D34="Propane Combustion","",'Facility Processes'!B34))</f>
        <v/>
      </c>
      <c r="C48" s="56" t="str">
        <f>IF('Facility Processes'!D34="","",IF('Facility Processes'!D34="Propane Combustion","",'Facility Processes'!C34))</f>
        <v/>
      </c>
      <c r="D48" s="49" t="str">
        <f>IF('Facility Processes'!D34="","",IF('Facility Processes'!D34="Propane Combustion","",'Facility Processes'!D34))</f>
        <v/>
      </c>
      <c r="E48" s="48" t="str">
        <f>IF('Facility Processes'!D34="","",IF('Facility Processes'!D34="Propane Combustion","",LOOKUP(D48,'Emission Factors'!$A$16,'Emission Factors'!$B$16)))</f>
        <v/>
      </c>
      <c r="F48" s="48" t="str">
        <f>IF('Facility Processes'!D34="","",IF('Facility Processes'!D34="Propane Combustion","",'Facility Processes'!E34))</f>
        <v/>
      </c>
      <c r="G48" s="48" t="str">
        <f>IF('Facility Processes'!D34="","",('Facility Processes'!G34))</f>
        <v/>
      </c>
      <c r="H48" s="48" t="str">
        <f>IF('Facility Processes'!D34="","",IF('Facility Processes'!D34="Propane Combustion","",'Facility Processes'!F34))</f>
        <v/>
      </c>
      <c r="I48" s="48" t="str">
        <f>IF('Facility Processes'!D34="","",IF('Facility Processes'!D34="Propane Combustion","",LOOKUP(D48,'Emission Factors'!$A$16:$A$17,'Emission Factors'!$P$16:$P$17)))</f>
        <v/>
      </c>
      <c r="J48" s="48" t="str">
        <f>IF('Facility Processes'!D34="","",IF('Facility Processes'!D34="Propane Combustion","",LOOKUP(D48,'Emission Factors'!$A$16:$A$17,'Emission Factors'!$Q$16:$Q$17)))</f>
        <v/>
      </c>
      <c r="K48" s="48" t="str">
        <f>IF('Facility Processes'!D34="","",IF('Facility Processes'!D34="Propane Combustion","","AP-42"))</f>
        <v/>
      </c>
      <c r="L48" s="53">
        <f>IF('Facility Processes'!D34="",0,IF('Facility Processes'!D34="Propane Combustion","",F48*I48))</f>
        <v>0</v>
      </c>
      <c r="M48" s="48"/>
      <c r="N48" s="51"/>
      <c r="O48" s="51" t="str">
        <f>IF('Facility Processes'!D34="","",IF('Facility Processes'!D34="Propane Combustion","",IF(L48&gt;L47,(MAX('Facility Information'!$E$32:$E$36)*1.2)*0.607/1050*I48/2000,"")))</f>
        <v/>
      </c>
      <c r="P48" s="51" t="str">
        <f>IF('Facility Processes'!D34="","",IF('Facility Processes'!D34="Propane Combustion","",('Facility Processes'!G34)*I48*(IF(M48="",(1/2000),((100-M48)/100/2000)))))</f>
        <v/>
      </c>
    </row>
    <row r="49" spans="2:16" ht="18.75" x14ac:dyDescent="0.3">
      <c r="B49" s="44" t="s">
        <v>38</v>
      </c>
      <c r="C49" s="46"/>
      <c r="D49" s="46"/>
      <c r="E49" s="46"/>
      <c r="F49" s="47"/>
      <c r="G49" s="47"/>
      <c r="H49" s="47"/>
      <c r="I49" s="47"/>
      <c r="J49" s="47"/>
      <c r="K49" s="47"/>
      <c r="L49" s="54"/>
      <c r="M49" s="47"/>
      <c r="N49" s="52"/>
      <c r="O49" s="52"/>
      <c r="P49" s="52"/>
    </row>
    <row r="50" spans="2:16" x14ac:dyDescent="0.25">
      <c r="B50" s="56" t="str">
        <f>IF('Facility Processes'!D33="","",IF('Facility Processes'!D33="Propane Combustion","",'Facility Processes'!B33))</f>
        <v/>
      </c>
      <c r="C50" s="56" t="str">
        <f>IF('Facility Processes'!D33="","",IF('Facility Processes'!D33="Propane Combustion","",'Facility Processes'!C33))</f>
        <v/>
      </c>
      <c r="D50" s="49" t="str">
        <f>IF('Facility Processes'!D33="","",IF('Facility Processes'!D33="Propane Combustion","",'Facility Processes'!D33))</f>
        <v/>
      </c>
      <c r="E50" s="48" t="str">
        <f>IF('Facility Processes'!D33="","",IF('Facility Processes'!D33="Propane Combustion","",LOOKUP(D50,'Emission Factors'!$A$16,'Emission Factors'!$B$16)))</f>
        <v/>
      </c>
      <c r="F50" s="48" t="str">
        <f>IF('Facility Processes'!D33="","",IF('Facility Processes'!D33="Propane Combustion","",'Facility Processes'!E33))</f>
        <v/>
      </c>
      <c r="G50" s="48" t="str">
        <f>IF('Facility Processes'!D33="","",('Facility Processes'!G33))</f>
        <v/>
      </c>
      <c r="H50" s="48" t="str">
        <f>IF('Facility Processes'!D33="","",IF('Facility Processes'!D33="Propane Combustion","",'Facility Processes'!F33))</f>
        <v/>
      </c>
      <c r="I50" s="48" t="str">
        <f>IF('Facility Processes'!D33="","",IF('Facility Processes'!D33="Propane Combustion","",LOOKUP(D50,'Emission Factors'!$A$16:$A$17,'Emission Factors'!$R$16:$R$17)))</f>
        <v/>
      </c>
      <c r="J50" s="48" t="str">
        <f>IF('Facility Processes'!D33="","",IF('Facility Processes'!D33="Propane Combustion","",LOOKUP(D50,'Emission Factors'!$A$16:$A$17,'Emission Factors'!$Q$16:$Q$17)))</f>
        <v/>
      </c>
      <c r="K50" s="48" t="str">
        <f>IF('Facility Processes'!D33="","",IF('Facility Processes'!D33="Propane Combustion","","AP-42"))</f>
        <v/>
      </c>
      <c r="L50" s="53" t="str">
        <f>IF('Facility Processes'!D33="","",IF('Facility Processes'!D33="Propane Combustion","",F50*I50))</f>
        <v/>
      </c>
      <c r="M50" s="48"/>
      <c r="N50" s="51"/>
      <c r="O50" s="51" t="str">
        <f>IF('Facility Processes'!D33="","",IF('Facility Processes'!D33="Propane Combustion","",IF(L50&gt;=L51,(MAX('Facility Information'!$E$32:$E$36)*1.2)*0.607/1050*I50/2000,"")))</f>
        <v/>
      </c>
      <c r="P50" s="51" t="str">
        <f>IF('Facility Processes'!D33="","",IF('Facility Processes'!D33="Propane Combustion","",('Facility Processes'!G33)*I50*(IF(M50="",(1/2000),((100-M50)/100/2000)))))</f>
        <v/>
      </c>
    </row>
    <row r="51" spans="2:16" x14ac:dyDescent="0.25">
      <c r="B51" s="56" t="str">
        <f>IF('Facility Processes'!D34="","",IF('Facility Processes'!D34="Propane Combustion","",'Facility Processes'!B34))</f>
        <v/>
      </c>
      <c r="C51" s="56" t="str">
        <f>IF('Facility Processes'!D34="","",IF('Facility Processes'!D34="Propane Combustion","",'Facility Processes'!C34))</f>
        <v/>
      </c>
      <c r="D51" s="49" t="str">
        <f>IF('Facility Processes'!D34="","",IF('Facility Processes'!D34="Propane Combustion","",'Facility Processes'!D34))</f>
        <v/>
      </c>
      <c r="E51" s="48" t="str">
        <f>IF('Facility Processes'!D34="","",IF('Facility Processes'!D34="Propane Combustion","",LOOKUP(D51,'Emission Factors'!$A$16,'Emission Factors'!$B$16)))</f>
        <v/>
      </c>
      <c r="F51" s="48" t="str">
        <f>IF('Facility Processes'!D34="","",IF('Facility Processes'!D34="Propane Combustion","",'Facility Processes'!E34))</f>
        <v/>
      </c>
      <c r="G51" s="48" t="str">
        <f>IF('Facility Processes'!D34="","",('Facility Processes'!G34))</f>
        <v/>
      </c>
      <c r="H51" s="48" t="str">
        <f>IF('Facility Processes'!D34="","",IF('Facility Processes'!D34="Propane Combustion","",'Facility Processes'!F34))</f>
        <v/>
      </c>
      <c r="I51" s="48" t="str">
        <f>IF('Facility Processes'!D34="","",IF('Facility Processes'!D34="Propane Combustion","",LOOKUP(D51,'Emission Factors'!$A$16:$A$17,'Emission Factors'!$R$16:$R$17)))</f>
        <v/>
      </c>
      <c r="J51" s="48" t="str">
        <f>IF('Facility Processes'!D34="","",IF('Facility Processes'!D34="Propane Combustion","",LOOKUP(D51,'Emission Factors'!$A$16:$A$17,'Emission Factors'!$Q$16:$Q$17)))</f>
        <v/>
      </c>
      <c r="K51" s="48" t="str">
        <f>IF('Facility Processes'!D34="","",IF('Facility Processes'!D34="Propane Combustion","","AP-42"))</f>
        <v/>
      </c>
      <c r="L51" s="53">
        <f>IF('Facility Processes'!D34="",0,IF('Facility Processes'!D34="Propane Combustion","",F51*I51))</f>
        <v>0</v>
      </c>
      <c r="M51" s="48"/>
      <c r="N51" s="51"/>
      <c r="O51" s="51" t="str">
        <f>IF('Facility Processes'!D34="","",IF('Facility Processes'!D34="Propane Combustion","",IF(L51&gt;L50,(MAX('Facility Information'!$E$32:$E$36)*1.2)*0.607/1050*I51/2000,"")))</f>
        <v/>
      </c>
      <c r="P51" s="51" t="str">
        <f>IF('Facility Processes'!D34="","",IF('Facility Processes'!D34="Propane Combustion","",('Facility Processes'!G34)*I51*(IF(M51="",(1/2000),((100-M51)/100/2000)))))</f>
        <v/>
      </c>
    </row>
    <row r="52" spans="2:16" ht="18.75" x14ac:dyDescent="0.3">
      <c r="B52" s="44" t="s">
        <v>39</v>
      </c>
      <c r="C52" s="46"/>
      <c r="D52" s="46"/>
      <c r="E52" s="46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6"/>
    </row>
    <row r="53" spans="2:16" x14ac:dyDescent="0.25">
      <c r="B53" s="56" t="str">
        <f>IF('Facility Processes'!D33="","",IF('Facility Processes'!D33="Propane Combustion","",'Facility Processes'!B33))</f>
        <v/>
      </c>
      <c r="C53" s="56" t="str">
        <f>IF('Facility Processes'!D33="","",IF('Facility Processes'!D33="Propane Combustion","",'Facility Processes'!C33))</f>
        <v/>
      </c>
      <c r="D53" s="49" t="str">
        <f>IF('Facility Processes'!D33="","",IF('Facility Processes'!D33="Propane Combustion","",'Facility Processes'!D33))</f>
        <v/>
      </c>
      <c r="E53" s="48" t="str">
        <f>IF('Facility Processes'!D33="","",IF('Facility Processes'!D33="Propane Combustion","",LOOKUP(D53,'Emission Factors'!$A$16,'Emission Factors'!$B$16)))</f>
        <v/>
      </c>
      <c r="F53" s="48" t="str">
        <f>IF('Facility Processes'!D33="","",IF('Facility Processes'!D33="Propane Combustion","",'Facility Processes'!E33))</f>
        <v/>
      </c>
      <c r="G53" s="48" t="str">
        <f>IF('Facility Processes'!D33="","",('Facility Processes'!G33))</f>
        <v/>
      </c>
      <c r="H53" s="48" t="str">
        <f>IF('Facility Processes'!D33="","",IF('Facility Processes'!D33="Propane Combustion","",'Facility Processes'!F33))</f>
        <v/>
      </c>
      <c r="I53" s="48" t="str">
        <f>IF('Facility Processes'!D33="","",IF('Facility Processes'!D33="Propane Combustion","",LOOKUP(D53,'Emission Factors'!$A$16:$A$17,'Emission Factors'!$T$16:$T$17)))</f>
        <v/>
      </c>
      <c r="J53" s="48" t="str">
        <f>IF('Facility Processes'!D33="","",IF('Facility Processes'!D33="Propane Combustion","",LOOKUP(D53,'Emission Factors'!$A$16:$A$17,'Emission Factors'!$Q$16:$Q$17)))</f>
        <v/>
      </c>
      <c r="K53" s="48" t="str">
        <f>IF('Facility Processes'!D33="","",IF('Facility Processes'!D33="Propane Combustion","","AP-42"))</f>
        <v/>
      </c>
      <c r="L53" s="53" t="str">
        <f>IF('Facility Processes'!D33="","",IF('Facility Processes'!D33="Propane Combustion","",F53*I53))</f>
        <v/>
      </c>
      <c r="M53" s="48"/>
      <c r="N53" s="51"/>
      <c r="O53" s="51" t="str">
        <f>IF('Facility Processes'!D33="","",IF('Facility Processes'!D33="Propane Combustion","",IF(L53&gt;=L54,(MAX('Facility Information'!$E$32:$E$36)*1.2)*0.607/1050*I53/2000,"")))</f>
        <v/>
      </c>
      <c r="P53" s="51" t="str">
        <f>IF('Facility Processes'!D33="","",IF('Facility Processes'!D33="Propane Combustion","",('Facility Processes'!G33)*I53*(IF(M53="",(1/2000),((100-M53)/100/2000)))))</f>
        <v/>
      </c>
    </row>
    <row r="54" spans="2:16" x14ac:dyDescent="0.25">
      <c r="B54" s="56" t="str">
        <f>IF('Facility Processes'!D34="","",IF('Facility Processes'!D34="Propane Combustion","",'Facility Processes'!B34))</f>
        <v/>
      </c>
      <c r="C54" s="56" t="str">
        <f>IF('Facility Processes'!D34="","",IF('Facility Processes'!D34="Propane Combustion","",'Facility Processes'!C34))</f>
        <v/>
      </c>
      <c r="D54" s="49" t="str">
        <f>IF('Facility Processes'!D34="","",IF('Facility Processes'!D34="Propane Combustion","",'Facility Processes'!D34))</f>
        <v/>
      </c>
      <c r="E54" s="48" t="str">
        <f>IF('Facility Processes'!D34="","",IF('Facility Processes'!D34="Propane Combustion","",LOOKUP(D54,'Emission Factors'!$A$16,'Emission Factors'!$B$16)))</f>
        <v/>
      </c>
      <c r="F54" s="48" t="str">
        <f>IF('Facility Processes'!D34="","",IF('Facility Processes'!D34="Propane Combustion","",'Facility Processes'!E34))</f>
        <v/>
      </c>
      <c r="G54" s="48" t="str">
        <f>IF('Facility Processes'!D34="","",('Facility Processes'!G34))</f>
        <v/>
      </c>
      <c r="H54" s="48" t="str">
        <f>IF('Facility Processes'!D34="","",IF('Facility Processes'!D34="Propane Combustion","",'Facility Processes'!F34))</f>
        <v/>
      </c>
      <c r="I54" s="48" t="str">
        <f>IF('Facility Processes'!D34="","",IF('Facility Processes'!D34="Propane Combustion","",LOOKUP(D54,'Emission Factors'!$A$16:$A$17,'Emission Factors'!$T$16:$T$17)))</f>
        <v/>
      </c>
      <c r="J54" s="48" t="str">
        <f>IF('Facility Processes'!D34="","",IF('Facility Processes'!D34="Propane Combustion","",LOOKUP(D54,'Emission Factors'!$A$16:$A$17,'Emission Factors'!$Q$16:$Q$17)))</f>
        <v/>
      </c>
      <c r="K54" s="48" t="str">
        <f>IF('Facility Processes'!D34="","",IF('Facility Processes'!D34="Propane Combustion","","AP-42"))</f>
        <v/>
      </c>
      <c r="L54" s="53">
        <f>IF('Facility Processes'!D34="",0,IF('Facility Processes'!D34="Propane Combustion","",F54*I54))</f>
        <v>0</v>
      </c>
      <c r="M54" s="48"/>
      <c r="N54" s="51"/>
      <c r="O54" s="51" t="str">
        <f>IF('Facility Processes'!D34="","",IF('Facility Processes'!D34="Propane Combustion","",IF(L54&gt;L53,(MAX('Facility Information'!$E$32:$E$36)*1.2)*0.607/1050*I54/2000,"")))</f>
        <v/>
      </c>
      <c r="P54" s="51" t="str">
        <f>IF('Facility Processes'!D34="","",IF('Facility Processes'!D34="Propane Combustion","",('Facility Processes'!G34)*I54*(IF(M54="",(1/2000),((100-M54)/100/2000)))))</f>
        <v/>
      </c>
    </row>
    <row r="55" spans="2:16" x14ac:dyDescent="0.25">
      <c r="F55" s="4"/>
      <c r="G55" s="104"/>
      <c r="H55" s="4"/>
      <c r="J55" s="4"/>
      <c r="K55" s="4"/>
      <c r="L55" s="4"/>
      <c r="M55" s="4"/>
      <c r="N55" s="4"/>
      <c r="O55" s="4"/>
    </row>
    <row r="56" spans="2:16" x14ac:dyDescent="0.25">
      <c r="F56" s="4"/>
      <c r="G56" s="104"/>
      <c r="H56" s="4"/>
      <c r="J56" s="4"/>
      <c r="K56" s="4"/>
      <c r="L56" s="4"/>
      <c r="M56" s="4"/>
      <c r="N56" s="4"/>
      <c r="O56" s="4"/>
    </row>
    <row r="57" spans="2:16" x14ac:dyDescent="0.25">
      <c r="F57" s="4"/>
      <c r="G57" s="104"/>
      <c r="H57" s="4"/>
      <c r="J57" s="4"/>
      <c r="K57" s="4"/>
      <c r="L57" s="4"/>
      <c r="M57" s="4"/>
      <c r="N57" s="4"/>
      <c r="O57" s="4"/>
    </row>
    <row r="58" spans="2:16" x14ac:dyDescent="0.25">
      <c r="F58" s="4"/>
      <c r="G58" s="104"/>
      <c r="H58" s="4"/>
      <c r="J58" s="4"/>
      <c r="K58" s="4"/>
      <c r="L58" s="4"/>
      <c r="M58" s="4"/>
      <c r="N58" s="4"/>
      <c r="O58" s="4"/>
    </row>
    <row r="59" spans="2:16" x14ac:dyDescent="0.25">
      <c r="F59" s="4"/>
      <c r="G59" s="104"/>
      <c r="H59" s="4"/>
      <c r="J59" s="4"/>
      <c r="K59" s="4"/>
      <c r="L59" s="4"/>
      <c r="M59" s="4"/>
      <c r="N59" s="4"/>
      <c r="O59" s="4"/>
    </row>
    <row r="60" spans="2:16" x14ac:dyDescent="0.25">
      <c r="F60" s="4"/>
      <c r="G60" s="104"/>
      <c r="H60" s="4"/>
      <c r="J60" s="4"/>
      <c r="K60" s="4"/>
      <c r="L60" s="4"/>
      <c r="M60" s="4"/>
      <c r="N60" s="4"/>
      <c r="O60" s="4"/>
    </row>
    <row r="61" spans="2:16" x14ac:dyDescent="0.25">
      <c r="F61" s="4"/>
      <c r="G61" s="104"/>
      <c r="H61" s="4"/>
      <c r="J61" s="4"/>
      <c r="K61" s="4"/>
      <c r="L61" s="4"/>
      <c r="M61" s="4"/>
      <c r="N61" s="4"/>
      <c r="O61" s="4"/>
    </row>
    <row r="62" spans="2:16" x14ac:dyDescent="0.25">
      <c r="F62" s="4"/>
      <c r="G62" s="104"/>
      <c r="H62" s="4"/>
      <c r="J62" s="4"/>
      <c r="K62" s="4"/>
      <c r="L62" s="4"/>
      <c r="M62" s="4"/>
      <c r="N62" s="4"/>
      <c r="O62" s="4"/>
    </row>
    <row r="63" spans="2:16" x14ac:dyDescent="0.25">
      <c r="F63" s="4"/>
      <c r="G63" s="104"/>
      <c r="H63" s="4"/>
      <c r="J63" s="4"/>
      <c r="K63" s="4"/>
      <c r="L63" s="4"/>
      <c r="M63" s="4"/>
      <c r="N63" s="4"/>
      <c r="O63" s="4"/>
    </row>
    <row r="64" spans="2:16" x14ac:dyDescent="0.25">
      <c r="F64" s="4"/>
      <c r="G64" s="104"/>
      <c r="H64" s="4"/>
      <c r="J64" s="4"/>
      <c r="K64" s="4"/>
      <c r="L64" s="4"/>
      <c r="M64" s="4"/>
      <c r="N64" s="4"/>
      <c r="O64" s="4"/>
    </row>
    <row r="65" spans="6:15" x14ac:dyDescent="0.25">
      <c r="F65" s="4"/>
      <c r="G65" s="104"/>
      <c r="H65" s="4"/>
      <c r="J65" s="4"/>
      <c r="K65" s="4"/>
      <c r="L65" s="4"/>
      <c r="M65" s="4"/>
      <c r="N65" s="4"/>
      <c r="O65" s="4"/>
    </row>
    <row r="66" spans="6:15" x14ac:dyDescent="0.25">
      <c r="F66" s="4"/>
      <c r="G66" s="104"/>
      <c r="H66" s="4"/>
      <c r="J66" s="4"/>
      <c r="K66" s="4"/>
      <c r="L66" s="4"/>
      <c r="M66" s="4"/>
      <c r="N66" s="4"/>
      <c r="O66" s="4"/>
    </row>
    <row r="67" spans="6:15" x14ac:dyDescent="0.25">
      <c r="F67" s="4"/>
      <c r="G67" s="104"/>
      <c r="H67" s="4"/>
      <c r="J67" s="4"/>
      <c r="K67" s="4"/>
      <c r="L67" s="4"/>
      <c r="M67" s="4"/>
      <c r="N67" s="4"/>
      <c r="O67" s="4"/>
    </row>
    <row r="68" spans="6:15" x14ac:dyDescent="0.25">
      <c r="F68" s="4"/>
      <c r="G68" s="104"/>
      <c r="H68" s="4"/>
    </row>
    <row r="69" spans="6:15" x14ac:dyDescent="0.25">
      <c r="F69" s="4"/>
      <c r="G69" s="104"/>
      <c r="H69" s="4"/>
    </row>
    <row r="70" spans="6:15" x14ac:dyDescent="0.25">
      <c r="F70" s="4"/>
      <c r="G70" s="104"/>
      <c r="H70" s="4"/>
    </row>
    <row r="71" spans="6:15" x14ac:dyDescent="0.25">
      <c r="F71" s="4"/>
      <c r="G71" s="104"/>
      <c r="H71" s="4"/>
    </row>
    <row r="72" spans="6:15" x14ac:dyDescent="0.25">
      <c r="F72" s="4"/>
      <c r="G72" s="104"/>
      <c r="H72" s="4"/>
    </row>
    <row r="73" spans="6:15" x14ac:dyDescent="0.25">
      <c r="F73" s="4"/>
      <c r="G73" s="104"/>
      <c r="H73" s="4"/>
    </row>
    <row r="74" spans="6:15" x14ac:dyDescent="0.25">
      <c r="F74" s="4"/>
      <c r="G74" s="104"/>
      <c r="H74" s="4"/>
    </row>
    <row r="75" spans="6:15" x14ac:dyDescent="0.25">
      <c r="F75" s="4"/>
      <c r="G75" s="104"/>
      <c r="H75" s="4"/>
    </row>
    <row r="76" spans="6:15" x14ac:dyDescent="0.25">
      <c r="F76" s="4"/>
      <c r="G76" s="104"/>
      <c r="H76" s="4"/>
    </row>
    <row r="77" spans="6:15" x14ac:dyDescent="0.25">
      <c r="F77" s="4"/>
      <c r="G77" s="104"/>
      <c r="H77" s="4"/>
    </row>
    <row r="78" spans="6:15" x14ac:dyDescent="0.25">
      <c r="F78" s="4"/>
      <c r="G78" s="104"/>
      <c r="H78" s="4"/>
    </row>
    <row r="79" spans="6:15" x14ac:dyDescent="0.25">
      <c r="F79" s="4"/>
      <c r="G79" s="104"/>
      <c r="H79" s="4"/>
    </row>
    <row r="80" spans="6:15" x14ac:dyDescent="0.25">
      <c r="F80" s="4"/>
      <c r="G80" s="104"/>
      <c r="H80" s="4"/>
    </row>
    <row r="81" spans="6:8" x14ac:dyDescent="0.25">
      <c r="F81" s="4"/>
      <c r="G81" s="104"/>
      <c r="H81" s="4"/>
    </row>
    <row r="82" spans="6:8" x14ac:dyDescent="0.25">
      <c r="F82" s="4"/>
      <c r="G82" s="104"/>
      <c r="H82" s="4"/>
    </row>
    <row r="83" spans="6:8" x14ac:dyDescent="0.25">
      <c r="F83" s="4"/>
      <c r="G83" s="104"/>
      <c r="H83" s="4"/>
    </row>
    <row r="84" spans="6:8" x14ac:dyDescent="0.25">
      <c r="F84" s="4"/>
      <c r="G84" s="104"/>
      <c r="H84" s="4"/>
    </row>
    <row r="85" spans="6:8" x14ac:dyDescent="0.25">
      <c r="F85" s="4"/>
      <c r="G85" s="104"/>
      <c r="H85" s="4"/>
    </row>
    <row r="86" spans="6:8" x14ac:dyDescent="0.25">
      <c r="F86" s="4"/>
      <c r="G86" s="104"/>
      <c r="H86" s="4"/>
    </row>
    <row r="87" spans="6:8" x14ac:dyDescent="0.25">
      <c r="F87" s="4"/>
      <c r="G87" s="104"/>
      <c r="H87" s="4"/>
    </row>
    <row r="88" spans="6:8" x14ac:dyDescent="0.25">
      <c r="F88" s="4"/>
      <c r="G88" s="104"/>
      <c r="H88" s="4"/>
    </row>
    <row r="89" spans="6:8" x14ac:dyDescent="0.25">
      <c r="F89" s="4"/>
      <c r="G89" s="104"/>
      <c r="H89" s="4"/>
    </row>
  </sheetData>
  <sheetProtection algorithmName="SHA-512" hashValue="iRITAul0y1QOYZMi2BdVLWVNFA0dywIG63WSX4a850U/0+YT1qqQoSUVq+8jozxoPoksdIbCzxw4YTeqFVhbLQ==" saltValue="IGE5sWO6G4T4eiOzfvvyUg==" spinCount="100000" sheet="1" objects="1" scenarios="1"/>
  <pageMargins left="0.25" right="0.25" top="0.75" bottom="0.75" header="0.3" footer="0.3"/>
  <pageSetup fitToHeight="0" orientation="landscape" r:id="rId1"/>
  <rowBreaks count="1" manualBreakCount="1">
    <brk id="31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7"/>
  <sheetViews>
    <sheetView topLeftCell="A16" workbookViewId="0">
      <selection activeCell="E16" sqref="E16"/>
    </sheetView>
  </sheetViews>
  <sheetFormatPr defaultRowHeight="15" x14ac:dyDescent="0.25"/>
  <cols>
    <col min="1" max="1" width="14" style="19" bestFit="1" customWidth="1"/>
    <col min="2" max="2" width="17.42578125" style="104" customWidth="1"/>
    <col min="3" max="3" width="10.42578125" style="19" customWidth="1"/>
    <col min="4" max="4" width="9.140625" style="19" customWidth="1"/>
    <col min="5" max="5" width="14" style="19" bestFit="1" customWidth="1"/>
    <col min="6" max="7" width="9.140625" style="19"/>
    <col min="8" max="8" width="9.85546875" style="19" customWidth="1"/>
    <col min="9" max="16384" width="9.140625" style="19"/>
  </cols>
  <sheetData>
    <row r="1" spans="1:3" ht="15.75" hidden="1" thickBot="1" x14ac:dyDescent="0.3">
      <c r="A1" s="15" t="s">
        <v>148</v>
      </c>
    </row>
    <row r="2" spans="1:3" ht="15.75" hidden="1" thickBot="1" x14ac:dyDescent="0.3">
      <c r="A2" s="168" t="s">
        <v>59</v>
      </c>
      <c r="B2" s="98"/>
      <c r="C2" s="142"/>
    </row>
    <row r="3" spans="1:3" hidden="1" x14ac:dyDescent="0.25">
      <c r="A3" s="35" t="s">
        <v>61</v>
      </c>
      <c r="B3" s="99" t="s">
        <v>62</v>
      </c>
      <c r="C3" s="36" t="s">
        <v>63</v>
      </c>
    </row>
    <row r="4" spans="1:3" hidden="1" x14ac:dyDescent="0.25">
      <c r="A4" s="30" t="s">
        <v>64</v>
      </c>
      <c r="B4" s="100" t="s">
        <v>64</v>
      </c>
      <c r="C4" s="31">
        <f>IF('Emission Calculations'!O16="","",IF('Emission Calculations'!O16&gt;50,50,'Emission Calculations'!O16))</f>
        <v>0</v>
      </c>
    </row>
    <row r="5" spans="1:3" hidden="1" x14ac:dyDescent="0.25">
      <c r="A5" s="32" t="s">
        <v>65</v>
      </c>
      <c r="B5" s="103" t="s">
        <v>65</v>
      </c>
      <c r="C5" s="31">
        <v>50</v>
      </c>
    </row>
    <row r="6" spans="1:3" hidden="1" x14ac:dyDescent="0.25">
      <c r="A6" s="32" t="s">
        <v>33</v>
      </c>
      <c r="B6" s="101" t="s">
        <v>66</v>
      </c>
      <c r="C6" s="31">
        <f>SUM('Emission Calculations'!O35:O36)</f>
        <v>0</v>
      </c>
    </row>
    <row r="7" spans="1:3" hidden="1" x14ac:dyDescent="0.25">
      <c r="A7" s="32" t="s">
        <v>67</v>
      </c>
      <c r="B7" s="101" t="s">
        <v>67</v>
      </c>
      <c r="C7" s="31">
        <f>SUM('Emission Calculations'!O38:O39)</f>
        <v>0</v>
      </c>
    </row>
    <row r="8" spans="1:3" hidden="1" x14ac:dyDescent="0.25">
      <c r="A8" s="32" t="s">
        <v>35</v>
      </c>
      <c r="B8" s="101" t="s">
        <v>35</v>
      </c>
      <c r="C8" s="31">
        <f>SUM('Emission Calculations'!O41:O42)</f>
        <v>0</v>
      </c>
    </row>
    <row r="9" spans="1:3" hidden="1" x14ac:dyDescent="0.25">
      <c r="A9" s="32" t="s">
        <v>36</v>
      </c>
      <c r="B9" s="101" t="s">
        <v>68</v>
      </c>
      <c r="C9" s="31">
        <f>SUM('Emission Calculations'!O44:O45)</f>
        <v>0</v>
      </c>
    </row>
    <row r="10" spans="1:3" hidden="1" x14ac:dyDescent="0.25">
      <c r="A10" s="32" t="s">
        <v>37</v>
      </c>
      <c r="B10" s="101"/>
      <c r="C10" s="31">
        <f>SUM('Emission Calculations'!O47:O48)</f>
        <v>0</v>
      </c>
    </row>
    <row r="11" spans="1:3" hidden="1" x14ac:dyDescent="0.25">
      <c r="A11" s="32" t="s">
        <v>38</v>
      </c>
      <c r="B11" s="101" t="s">
        <v>81</v>
      </c>
      <c r="C11" s="31">
        <f>SUM('Emission Calculations'!O50:O51)</f>
        <v>0</v>
      </c>
    </row>
    <row r="12" spans="1:3" hidden="1" x14ac:dyDescent="0.25">
      <c r="A12" s="32" t="s">
        <v>39</v>
      </c>
      <c r="B12" s="101" t="s">
        <v>69</v>
      </c>
      <c r="C12" s="31">
        <f>SUM('Emission Calculations'!O53:O54)</f>
        <v>0</v>
      </c>
    </row>
    <row r="13" spans="1:3" ht="15.75" hidden="1" thickBot="1" x14ac:dyDescent="0.3">
      <c r="A13" s="33" t="s">
        <v>70</v>
      </c>
      <c r="B13" s="102"/>
      <c r="C13" s="34">
        <f>SUM(C11:C12)</f>
        <v>0</v>
      </c>
    </row>
    <row r="14" spans="1:3" hidden="1" x14ac:dyDescent="0.25"/>
    <row r="15" spans="1:3" ht="15.75" hidden="1" thickBot="1" x14ac:dyDescent="0.3"/>
    <row r="16" spans="1:3" ht="15.75" thickBot="1" x14ac:dyDescent="0.3">
      <c r="A16" s="168" t="s">
        <v>60</v>
      </c>
      <c r="B16" s="98"/>
      <c r="C16" s="142"/>
    </row>
    <row r="17" spans="1:5" x14ac:dyDescent="0.25">
      <c r="A17" s="35" t="s">
        <v>61</v>
      </c>
      <c r="B17" s="99" t="s">
        <v>62</v>
      </c>
      <c r="C17" s="36" t="s">
        <v>63</v>
      </c>
    </row>
    <row r="18" spans="1:5" x14ac:dyDescent="0.25">
      <c r="A18" s="32" t="s">
        <v>64</v>
      </c>
      <c r="B18" s="100" t="s">
        <v>64</v>
      </c>
      <c r="C18" s="31">
        <f>IF('Emission Calculations'!P16="","",'Emission Calculations'!P16)</f>
        <v>0</v>
      </c>
      <c r="E18" s="15"/>
    </row>
    <row r="19" spans="1:5" x14ac:dyDescent="0.25">
      <c r="A19" s="32" t="s">
        <v>65</v>
      </c>
      <c r="B19" s="103" t="s">
        <v>65</v>
      </c>
      <c r="C19" s="31">
        <f>IF('Emission Calculations'!P30="","",'Emission Calculations'!P30)</f>
        <v>0</v>
      </c>
      <c r="E19" s="15"/>
    </row>
    <row r="20" spans="1:5" x14ac:dyDescent="0.25">
      <c r="A20" s="32" t="s">
        <v>33</v>
      </c>
      <c r="B20" s="101" t="s">
        <v>66</v>
      </c>
      <c r="C20" s="31">
        <f>SUM('Emission Calculations'!P35:P36)</f>
        <v>0</v>
      </c>
      <c r="E20" s="15"/>
    </row>
    <row r="21" spans="1:5" x14ac:dyDescent="0.25">
      <c r="A21" s="32" t="s">
        <v>67</v>
      </c>
      <c r="B21" s="101" t="s">
        <v>67</v>
      </c>
      <c r="C21" s="31">
        <f>SUM('Emission Calculations'!P38:P39)</f>
        <v>0</v>
      </c>
      <c r="E21" s="15"/>
    </row>
    <row r="22" spans="1:5" x14ac:dyDescent="0.25">
      <c r="A22" s="32" t="s">
        <v>35</v>
      </c>
      <c r="B22" s="101" t="s">
        <v>35</v>
      </c>
      <c r="C22" s="31">
        <f>SUM('Emission Calculations'!P41:P42)</f>
        <v>0</v>
      </c>
      <c r="E22" s="15"/>
    </row>
    <row r="23" spans="1:5" x14ac:dyDescent="0.25">
      <c r="A23" s="32" t="s">
        <v>36</v>
      </c>
      <c r="B23" s="101" t="s">
        <v>68</v>
      </c>
      <c r="C23" s="31">
        <f>SUM('Emission Calculations'!P44:P45)</f>
        <v>0</v>
      </c>
      <c r="E23" s="15"/>
    </row>
    <row r="24" spans="1:5" x14ac:dyDescent="0.25">
      <c r="A24" s="32" t="s">
        <v>37</v>
      </c>
      <c r="B24" s="101"/>
      <c r="C24" s="31">
        <f>SUM('Emission Calculations'!P47:P48)</f>
        <v>0</v>
      </c>
      <c r="E24" s="15"/>
    </row>
    <row r="25" spans="1:5" x14ac:dyDescent="0.25">
      <c r="A25" s="32" t="s">
        <v>38</v>
      </c>
      <c r="B25" s="101" t="s">
        <v>81</v>
      </c>
      <c r="C25" s="31">
        <f>SUM('Emission Calculations'!P50:P51)</f>
        <v>0</v>
      </c>
      <c r="E25" s="15"/>
    </row>
    <row r="26" spans="1:5" x14ac:dyDescent="0.25">
      <c r="A26" s="32" t="s">
        <v>39</v>
      </c>
      <c r="B26" s="101" t="s">
        <v>69</v>
      </c>
      <c r="C26" s="31">
        <f>SUM('Emission Calculations'!P53:P54)</f>
        <v>0</v>
      </c>
      <c r="E26" s="15"/>
    </row>
    <row r="27" spans="1:5" ht="15.75" thickBot="1" x14ac:dyDescent="0.3">
      <c r="A27" s="33" t="s">
        <v>70</v>
      </c>
      <c r="B27" s="102"/>
      <c r="C27" s="34">
        <f>SUM(C25:C26)</f>
        <v>0</v>
      </c>
      <c r="E27" s="15"/>
    </row>
  </sheetData>
  <sheetProtection algorithmName="SHA-512" hashValue="lWpIzER3cqq4yrKJ399gjRuroAL1pe9+8HzefG0pBvqqEJq6+f4aE8P/BDzSFd+KkpXXUUAog7VjEogLeQJ8Wg==" saltValue="B0A4qSAAZPF5pE6PtmpQ+A==" spinCount="100000" sheet="1" objects="1" scenarios="1"/>
  <pageMargins left="0.7" right="0.7" top="0.75" bottom="0.75" header="0.3" footer="0.3"/>
  <pageSetup scale="9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53"/>
  <sheetViews>
    <sheetView zoomScaleNormal="100" workbookViewId="0">
      <selection activeCell="B56" sqref="B56"/>
    </sheetView>
  </sheetViews>
  <sheetFormatPr defaultRowHeight="15" x14ac:dyDescent="0.25"/>
  <cols>
    <col min="1" max="1" width="27.85546875" style="19" bestFit="1" customWidth="1"/>
    <col min="2" max="2" width="9.5703125" style="19" bestFit="1" customWidth="1"/>
    <col min="3" max="3" width="10.28515625" style="19" customWidth="1"/>
    <col min="4" max="4" width="9.140625" style="19" customWidth="1"/>
    <col min="5" max="5" width="8.7109375" style="19" customWidth="1"/>
    <col min="6" max="6" width="7.85546875" style="19" customWidth="1"/>
    <col min="7" max="7" width="26.85546875" style="19" bestFit="1" customWidth="1"/>
    <col min="8" max="8" width="4.42578125" style="19" bestFit="1" customWidth="1"/>
    <col min="9" max="9" width="9.5703125" style="19" bestFit="1" customWidth="1"/>
    <col min="10" max="10" width="5.5703125" style="19" bestFit="1" customWidth="1"/>
    <col min="11" max="11" width="10.140625" style="19" bestFit="1" customWidth="1"/>
    <col min="12" max="12" width="4.85546875" style="19" bestFit="1" customWidth="1"/>
    <col min="13" max="13" width="10.140625" style="19" bestFit="1" customWidth="1"/>
    <col min="14" max="14" width="4.5703125" style="19" bestFit="1" customWidth="1"/>
    <col min="15" max="15" width="10.140625" style="19" bestFit="1" customWidth="1"/>
    <col min="16" max="16" width="9.5703125" style="19" bestFit="1" customWidth="1"/>
    <col min="17" max="17" width="10.140625" style="19" bestFit="1" customWidth="1"/>
    <col min="18" max="18" width="7.7109375" style="19" bestFit="1" customWidth="1"/>
    <col min="19" max="19" width="10.140625" style="19" bestFit="1" customWidth="1"/>
    <col min="20" max="20" width="14" style="19" bestFit="1" customWidth="1"/>
    <col min="21" max="21" width="10.140625" style="19" bestFit="1" customWidth="1"/>
    <col min="22" max="16384" width="9.140625" style="19"/>
  </cols>
  <sheetData>
    <row r="1" spans="1:21" x14ac:dyDescent="0.25">
      <c r="A1" s="43" t="s">
        <v>130</v>
      </c>
    </row>
    <row r="2" spans="1:21" x14ac:dyDescent="0.25">
      <c r="D2" s="25"/>
    </row>
    <row r="3" spans="1:21" x14ac:dyDescent="0.25">
      <c r="E3" s="143"/>
      <c r="F3" s="143"/>
      <c r="G3" s="143"/>
      <c r="H3" s="143"/>
      <c r="I3" s="143"/>
      <c r="J3" s="143"/>
      <c r="K3" s="143"/>
      <c r="L3" s="143"/>
      <c r="M3" s="105" t="s">
        <v>107</v>
      </c>
      <c r="N3" s="143"/>
      <c r="O3" s="143"/>
      <c r="P3" s="143"/>
      <c r="Q3" s="143"/>
      <c r="R3" s="143"/>
      <c r="S3" s="143"/>
      <c r="T3" s="143"/>
      <c r="U3" s="143"/>
    </row>
    <row r="4" spans="1:21" s="24" customFormat="1" x14ac:dyDescent="0.25">
      <c r="A4" s="24" t="s">
        <v>11</v>
      </c>
      <c r="B4" s="24" t="s">
        <v>42</v>
      </c>
      <c r="D4" s="24" t="s">
        <v>108</v>
      </c>
      <c r="E4" s="24" t="s">
        <v>29</v>
      </c>
      <c r="F4" s="24" t="s">
        <v>57</v>
      </c>
      <c r="G4" s="24" t="s">
        <v>29</v>
      </c>
      <c r="H4" s="24" t="s">
        <v>33</v>
      </c>
      <c r="I4" s="24" t="s">
        <v>29</v>
      </c>
      <c r="J4" s="24" t="s">
        <v>34</v>
      </c>
      <c r="K4" s="24" t="s">
        <v>29</v>
      </c>
      <c r="L4" s="24" t="s">
        <v>35</v>
      </c>
      <c r="M4" s="24" t="s">
        <v>29</v>
      </c>
      <c r="N4" s="24" t="s">
        <v>36</v>
      </c>
      <c r="O4" s="24" t="s">
        <v>29</v>
      </c>
      <c r="P4" s="24" t="s">
        <v>37</v>
      </c>
      <c r="Q4" s="24" t="s">
        <v>29</v>
      </c>
      <c r="R4" s="24" t="s">
        <v>38</v>
      </c>
      <c r="S4" s="24" t="s">
        <v>29</v>
      </c>
      <c r="T4" s="24" t="s">
        <v>39</v>
      </c>
      <c r="U4" s="24" t="s">
        <v>29</v>
      </c>
    </row>
    <row r="5" spans="1:21" x14ac:dyDescent="0.25">
      <c r="A5" s="19" t="s">
        <v>18</v>
      </c>
      <c r="B5" s="19">
        <v>30200527</v>
      </c>
      <c r="D5" s="19">
        <v>9.4000000000000004E-3</v>
      </c>
      <c r="E5" s="19" t="s">
        <v>30</v>
      </c>
      <c r="F5" s="19">
        <v>5.5E-2</v>
      </c>
      <c r="G5" s="19" t="s">
        <v>30</v>
      </c>
    </row>
    <row r="6" spans="1:21" x14ac:dyDescent="0.25">
      <c r="A6" s="19" t="s">
        <v>17</v>
      </c>
      <c r="B6" s="19">
        <v>30200528</v>
      </c>
      <c r="D6" s="19">
        <v>0.13</v>
      </c>
      <c r="E6" s="19" t="s">
        <v>30</v>
      </c>
      <c r="F6" s="19">
        <v>0.75</v>
      </c>
      <c r="G6" s="19" t="s">
        <v>30</v>
      </c>
    </row>
    <row r="7" spans="1:21" x14ac:dyDescent="0.25">
      <c r="A7" s="19" t="s">
        <v>14</v>
      </c>
      <c r="B7" s="19">
        <v>30200537</v>
      </c>
      <c r="D7" s="19">
        <v>1.6E-2</v>
      </c>
      <c r="E7" s="19" t="s">
        <v>30</v>
      </c>
      <c r="F7" s="19">
        <v>9.5000000000000001E-2</v>
      </c>
      <c r="G7" s="19" t="s">
        <v>30</v>
      </c>
    </row>
    <row r="8" spans="1:21" x14ac:dyDescent="0.25">
      <c r="A8" s="19" t="s">
        <v>13</v>
      </c>
      <c r="B8" s="19">
        <v>30200530</v>
      </c>
      <c r="D8" s="19">
        <v>5.7999999999999996E-3</v>
      </c>
      <c r="E8" s="19" t="s">
        <v>30</v>
      </c>
      <c r="F8" s="19">
        <v>3.4000000000000002E-2</v>
      </c>
      <c r="G8" s="19" t="s">
        <v>30</v>
      </c>
    </row>
    <row r="9" spans="1:21" x14ac:dyDescent="0.25">
      <c r="A9" s="19" t="s">
        <v>12</v>
      </c>
      <c r="B9" s="19">
        <v>30200540</v>
      </c>
      <c r="D9" s="19">
        <v>1.1000000000000001E-3</v>
      </c>
      <c r="E9" s="19" t="s">
        <v>30</v>
      </c>
      <c r="F9" s="19">
        <v>6.3E-3</v>
      </c>
      <c r="G9" s="19" t="s">
        <v>30</v>
      </c>
    </row>
    <row r="10" spans="1:21" x14ac:dyDescent="0.25">
      <c r="A10" s="19" t="s">
        <v>21</v>
      </c>
      <c r="B10" s="19">
        <v>30200564</v>
      </c>
      <c r="D10" s="19">
        <v>5.5000000000000003E-4</v>
      </c>
      <c r="E10" s="19" t="s">
        <v>30</v>
      </c>
      <c r="F10" s="19">
        <v>4.0000000000000001E-3</v>
      </c>
      <c r="G10" s="19" t="s">
        <v>30</v>
      </c>
    </row>
    <row r="11" spans="1:21" x14ac:dyDescent="0.25">
      <c r="A11" s="19" t="s">
        <v>20</v>
      </c>
      <c r="B11" s="19">
        <v>30200563</v>
      </c>
      <c r="D11" s="19">
        <v>3.6999999999999999E-4</v>
      </c>
      <c r="E11" s="19" t="s">
        <v>30</v>
      </c>
      <c r="F11" s="19">
        <v>2.2000000000000001E-3</v>
      </c>
      <c r="G11" s="19" t="s">
        <v>30</v>
      </c>
    </row>
    <row r="12" spans="1:21" x14ac:dyDescent="0.25">
      <c r="A12" s="19" t="s">
        <v>19</v>
      </c>
      <c r="B12" s="19">
        <v>30200560</v>
      </c>
      <c r="D12" s="19">
        <v>4.8999999999999998E-3</v>
      </c>
      <c r="E12" s="19" t="s">
        <v>30</v>
      </c>
      <c r="F12" s="19">
        <v>2.9000000000000001E-2</v>
      </c>
      <c r="G12" s="19" t="s">
        <v>30</v>
      </c>
    </row>
    <row r="13" spans="1:21" x14ac:dyDescent="0.25">
      <c r="A13" s="19" t="s">
        <v>31</v>
      </c>
      <c r="B13" s="19">
        <v>30200552</v>
      </c>
      <c r="D13" s="19">
        <v>1.2999999999999999E-3</v>
      </c>
      <c r="E13" s="19" t="s">
        <v>30</v>
      </c>
      <c r="F13" s="19">
        <v>7.7999999999999996E-3</v>
      </c>
      <c r="G13" s="19" t="s">
        <v>30</v>
      </c>
    </row>
    <row r="14" spans="1:21" x14ac:dyDescent="0.25">
      <c r="A14" s="19" t="s">
        <v>16</v>
      </c>
      <c r="B14" s="19">
        <v>30200553</v>
      </c>
      <c r="D14" s="19">
        <v>1.2999999999999999E-3</v>
      </c>
      <c r="E14" s="19" t="s">
        <v>30</v>
      </c>
      <c r="F14" s="19">
        <v>7.7999999999999996E-3</v>
      </c>
      <c r="G14" s="19" t="s">
        <v>30</v>
      </c>
    </row>
    <row r="15" spans="1:21" x14ac:dyDescent="0.25">
      <c r="A15" s="19" t="s">
        <v>32</v>
      </c>
      <c r="B15" s="19">
        <v>30200551</v>
      </c>
      <c r="D15" s="19">
        <v>0.01</v>
      </c>
      <c r="E15" s="19" t="s">
        <v>30</v>
      </c>
      <c r="F15" s="19">
        <v>5.8999999999999997E-2</v>
      </c>
      <c r="G15" s="19" t="s">
        <v>30</v>
      </c>
    </row>
    <row r="16" spans="1:21" x14ac:dyDescent="0.25">
      <c r="A16" s="19" t="s">
        <v>41</v>
      </c>
      <c r="B16" s="19">
        <v>10200602</v>
      </c>
      <c r="C16" s="19" t="s">
        <v>77</v>
      </c>
      <c r="H16" s="19">
        <v>0.6</v>
      </c>
      <c r="I16" s="19" t="s">
        <v>40</v>
      </c>
      <c r="J16" s="19">
        <v>100</v>
      </c>
      <c r="K16" s="19" t="s">
        <v>40</v>
      </c>
      <c r="L16" s="19">
        <v>5.5</v>
      </c>
      <c r="M16" s="19" t="s">
        <v>40</v>
      </c>
      <c r="N16" s="19">
        <v>84</v>
      </c>
      <c r="O16" s="19" t="s">
        <v>40</v>
      </c>
      <c r="P16" s="19">
        <v>3.2</v>
      </c>
      <c r="Q16" s="19" t="s">
        <v>40</v>
      </c>
      <c r="R16" s="19">
        <v>1.8</v>
      </c>
      <c r="S16" s="19" t="s">
        <v>40</v>
      </c>
      <c r="T16" s="19">
        <v>7.4999999999999997E-2</v>
      </c>
      <c r="U16" s="19" t="s">
        <v>40</v>
      </c>
    </row>
    <row r="17" spans="1:20" x14ac:dyDescent="0.25">
      <c r="A17" s="19" t="s">
        <v>79</v>
      </c>
      <c r="B17" s="19">
        <v>10201002</v>
      </c>
      <c r="C17" s="19" t="s">
        <v>78</v>
      </c>
      <c r="H17" s="19">
        <v>0.1</v>
      </c>
      <c r="I17" s="38" t="s">
        <v>80</v>
      </c>
      <c r="J17" s="37">
        <v>13</v>
      </c>
      <c r="K17" s="38" t="s">
        <v>80</v>
      </c>
      <c r="L17" s="37">
        <v>1</v>
      </c>
      <c r="M17" s="38" t="s">
        <v>80</v>
      </c>
      <c r="N17" s="37">
        <v>7.5</v>
      </c>
      <c r="O17" s="38" t="s">
        <v>80</v>
      </c>
      <c r="P17" s="37"/>
      <c r="Q17" s="38"/>
      <c r="R17" s="37"/>
      <c r="S17" s="38"/>
      <c r="T17" s="37"/>
    </row>
    <row r="18" spans="1:20" x14ac:dyDescent="0.25">
      <c r="I18" s="38"/>
      <c r="J18" s="37"/>
      <c r="K18" s="38"/>
      <c r="L18" s="37"/>
      <c r="M18" s="38"/>
      <c r="N18" s="37"/>
      <c r="O18" s="38"/>
      <c r="P18" s="37"/>
      <c r="Q18" s="38"/>
      <c r="R18" s="37"/>
      <c r="S18" s="38"/>
      <c r="T18" s="37"/>
    </row>
    <row r="19" spans="1:20" x14ac:dyDescent="0.25">
      <c r="A19" s="19" t="s">
        <v>112</v>
      </c>
      <c r="B19" s="19">
        <v>30205054</v>
      </c>
      <c r="D19" s="61" t="s">
        <v>142</v>
      </c>
      <c r="E19" s="61"/>
      <c r="F19" s="61"/>
      <c r="G19" s="61"/>
      <c r="H19" s="62"/>
      <c r="I19" s="38"/>
      <c r="J19" s="37"/>
      <c r="K19" s="38"/>
      <c r="L19" s="37"/>
      <c r="M19" s="38"/>
      <c r="N19" s="37"/>
      <c r="O19" s="38"/>
      <c r="P19" s="37"/>
      <c r="Q19" s="38"/>
      <c r="R19" s="37"/>
      <c r="S19" s="38"/>
      <c r="T19" s="37"/>
    </row>
    <row r="20" spans="1:20" x14ac:dyDescent="0.25">
      <c r="D20" s="61"/>
      <c r="E20" s="61"/>
      <c r="G20" s="61"/>
      <c r="I20" s="61" t="s">
        <v>133</v>
      </c>
      <c r="J20" s="37"/>
      <c r="K20" s="38"/>
      <c r="L20" s="37"/>
      <c r="M20" s="38"/>
      <c r="N20" s="37"/>
      <c r="O20" s="38"/>
      <c r="P20" s="37"/>
      <c r="Q20" s="38"/>
      <c r="R20" s="37"/>
      <c r="S20" s="38"/>
      <c r="T20" s="37"/>
    </row>
    <row r="21" spans="1:20" x14ac:dyDescent="0.25">
      <c r="D21" s="61"/>
      <c r="E21" s="61"/>
      <c r="G21" s="61"/>
      <c r="I21" s="61" t="s">
        <v>134</v>
      </c>
      <c r="J21" s="37"/>
      <c r="K21" s="38"/>
      <c r="L21" s="37"/>
      <c r="M21" s="38"/>
      <c r="N21" s="37"/>
      <c r="O21" s="38"/>
      <c r="P21" s="37"/>
      <c r="Q21" s="38"/>
      <c r="R21" s="37"/>
      <c r="S21" s="38"/>
      <c r="T21" s="37"/>
    </row>
    <row r="22" spans="1:20" x14ac:dyDescent="0.25">
      <c r="D22" s="61"/>
      <c r="E22" s="61"/>
      <c r="G22" s="61"/>
      <c r="I22" s="61" t="s">
        <v>135</v>
      </c>
    </row>
    <row r="23" spans="1:20" x14ac:dyDescent="0.25">
      <c r="D23" s="61"/>
      <c r="E23" s="61"/>
      <c r="G23" s="61"/>
      <c r="I23" s="72" t="s">
        <v>143</v>
      </c>
    </row>
    <row r="24" spans="1:20" x14ac:dyDescent="0.25">
      <c r="D24" s="61"/>
      <c r="E24" s="61"/>
      <c r="G24" s="61"/>
      <c r="I24" s="72"/>
    </row>
    <row r="25" spans="1:20" s="24" customFormat="1" x14ac:dyDescent="0.25">
      <c r="A25" s="29" t="s">
        <v>28</v>
      </c>
      <c r="B25" s="29" t="s">
        <v>43</v>
      </c>
      <c r="D25" s="106" t="s">
        <v>105</v>
      </c>
      <c r="E25" s="139"/>
      <c r="F25" s="139"/>
      <c r="G25" s="139"/>
      <c r="H25" s="139"/>
    </row>
    <row r="26" spans="1:20" x14ac:dyDescent="0.25">
      <c r="A26" s="26" t="s">
        <v>44</v>
      </c>
      <c r="B26" s="19">
        <v>95</v>
      </c>
      <c r="D26" s="104" t="s">
        <v>106</v>
      </c>
      <c r="E26" s="141"/>
    </row>
    <row r="27" spans="1:20" x14ac:dyDescent="0.25">
      <c r="A27" s="26" t="s">
        <v>26</v>
      </c>
      <c r="B27" s="19">
        <v>95</v>
      </c>
      <c r="D27" s="104" t="s">
        <v>106</v>
      </c>
      <c r="E27" s="141"/>
    </row>
    <row r="28" spans="1:20" x14ac:dyDescent="0.25">
      <c r="A28" s="26" t="s">
        <v>45</v>
      </c>
      <c r="B28" s="19">
        <v>80</v>
      </c>
      <c r="D28" s="104" t="s">
        <v>106</v>
      </c>
      <c r="E28" s="141"/>
    </row>
    <row r="29" spans="1:20" x14ac:dyDescent="0.25">
      <c r="A29" s="26" t="s">
        <v>154</v>
      </c>
      <c r="B29" s="19">
        <v>56</v>
      </c>
      <c r="D29" s="104" t="s">
        <v>144</v>
      </c>
      <c r="E29" s="141"/>
    </row>
    <row r="30" spans="1:20" x14ac:dyDescent="0.25">
      <c r="A30" s="26" t="s">
        <v>27</v>
      </c>
      <c r="B30" s="19">
        <v>50</v>
      </c>
      <c r="D30" s="104" t="s">
        <v>144</v>
      </c>
      <c r="E30" s="141"/>
    </row>
    <row r="31" spans="1:20" x14ac:dyDescent="0.25">
      <c r="A31" s="26" t="s">
        <v>138</v>
      </c>
      <c r="B31" s="19">
        <v>40</v>
      </c>
      <c r="D31" s="104" t="s">
        <v>106</v>
      </c>
      <c r="E31" s="141"/>
    </row>
    <row r="32" spans="1:20" x14ac:dyDescent="0.25">
      <c r="A32" s="26" t="s">
        <v>150</v>
      </c>
      <c r="B32" s="19">
        <v>56</v>
      </c>
      <c r="D32" s="104" t="s">
        <v>144</v>
      </c>
      <c r="E32" s="141"/>
    </row>
    <row r="33" spans="1:7" x14ac:dyDescent="0.25">
      <c r="A33" s="26" t="s">
        <v>151</v>
      </c>
      <c r="B33" s="19">
        <v>56</v>
      </c>
      <c r="D33" s="104" t="s">
        <v>144</v>
      </c>
      <c r="E33" s="141"/>
    </row>
    <row r="34" spans="1:7" x14ac:dyDescent="0.25">
      <c r="A34" s="26" t="s">
        <v>152</v>
      </c>
      <c r="B34" s="19">
        <v>40</v>
      </c>
      <c r="D34" s="104" t="s">
        <v>144</v>
      </c>
      <c r="E34" s="141"/>
    </row>
    <row r="35" spans="1:7" x14ac:dyDescent="0.25">
      <c r="A35" s="26" t="s">
        <v>153</v>
      </c>
      <c r="B35" s="19">
        <v>32</v>
      </c>
      <c r="D35" s="104" t="s">
        <v>144</v>
      </c>
      <c r="E35" s="141"/>
    </row>
    <row r="37" spans="1:7" hidden="1" x14ac:dyDescent="0.25">
      <c r="A37" s="90" t="s">
        <v>159</v>
      </c>
      <c r="C37" s="87"/>
      <c r="D37" s="87"/>
      <c r="E37" s="87"/>
    </row>
    <row r="38" spans="1:7" hidden="1" x14ac:dyDescent="0.25">
      <c r="A38" s="26"/>
      <c r="C38" s="85"/>
      <c r="D38" s="85"/>
      <c r="E38" s="85"/>
    </row>
    <row r="39" spans="1:7" hidden="1" x14ac:dyDescent="0.25">
      <c r="A39" s="141" t="s">
        <v>28</v>
      </c>
      <c r="B39" s="141"/>
      <c r="C39" s="82"/>
      <c r="D39" s="81" t="s">
        <v>43</v>
      </c>
    </row>
    <row r="40" spans="1:7" hidden="1" x14ac:dyDescent="0.25">
      <c r="A40" s="64" t="s">
        <v>44</v>
      </c>
      <c r="D40" s="19">
        <v>95</v>
      </c>
      <c r="G40" s="64"/>
    </row>
    <row r="41" spans="1:7" hidden="1" x14ac:dyDescent="0.25">
      <c r="A41" s="61" t="s">
        <v>149</v>
      </c>
      <c r="D41" s="19">
        <v>99</v>
      </c>
      <c r="G41" s="64"/>
    </row>
    <row r="42" spans="1:7" hidden="1" x14ac:dyDescent="0.25">
      <c r="A42" s="73" t="s">
        <v>157</v>
      </c>
      <c r="D42" s="19">
        <v>97.5</v>
      </c>
      <c r="G42" s="64"/>
    </row>
    <row r="43" spans="1:7" hidden="1" x14ac:dyDescent="0.25">
      <c r="A43" s="65" t="s">
        <v>26</v>
      </c>
      <c r="D43" s="19">
        <v>95</v>
      </c>
      <c r="G43" s="64"/>
    </row>
    <row r="44" spans="1:7" hidden="1" x14ac:dyDescent="0.25">
      <c r="A44" s="73" t="s">
        <v>155</v>
      </c>
      <c r="D44" s="19">
        <v>97.8</v>
      </c>
      <c r="G44" s="64"/>
    </row>
    <row r="45" spans="1:7" hidden="1" x14ac:dyDescent="0.25">
      <c r="A45" s="65" t="s">
        <v>45</v>
      </c>
      <c r="D45" s="19">
        <v>80</v>
      </c>
      <c r="G45" s="64"/>
    </row>
    <row r="46" spans="1:7" hidden="1" x14ac:dyDescent="0.25">
      <c r="A46" s="73" t="s">
        <v>158</v>
      </c>
      <c r="D46" s="19">
        <v>90</v>
      </c>
    </row>
    <row r="47" spans="1:7" hidden="1" x14ac:dyDescent="0.25">
      <c r="A47" s="64" t="s">
        <v>138</v>
      </c>
      <c r="D47" s="19">
        <v>40</v>
      </c>
    </row>
    <row r="48" spans="1:7" hidden="1" x14ac:dyDescent="0.25">
      <c r="A48" s="64" t="s">
        <v>152</v>
      </c>
      <c r="D48" s="19">
        <v>40</v>
      </c>
    </row>
    <row r="49" spans="1:4" hidden="1" x14ac:dyDescent="0.25">
      <c r="A49" s="65" t="s">
        <v>150</v>
      </c>
      <c r="D49" s="19">
        <v>56</v>
      </c>
    </row>
    <row r="50" spans="1:4" hidden="1" x14ac:dyDescent="0.25">
      <c r="A50" s="73" t="s">
        <v>153</v>
      </c>
      <c r="D50" s="19">
        <v>32</v>
      </c>
    </row>
    <row r="51" spans="1:4" hidden="1" x14ac:dyDescent="0.25">
      <c r="A51" s="73" t="s">
        <v>151</v>
      </c>
      <c r="D51" s="19">
        <v>56</v>
      </c>
    </row>
    <row r="52" spans="1:4" hidden="1" x14ac:dyDescent="0.25">
      <c r="A52" s="73" t="s">
        <v>154</v>
      </c>
      <c r="D52" s="19">
        <v>56</v>
      </c>
    </row>
    <row r="53" spans="1:4" hidden="1" x14ac:dyDescent="0.25">
      <c r="A53" s="73" t="s">
        <v>27</v>
      </c>
      <c r="D53" s="19">
        <v>50</v>
      </c>
    </row>
  </sheetData>
  <sheetProtection algorithmName="SHA-512" hashValue="HLxjq7QdKjR9JEcnM1z7TUlnb+p4sXPHbUKjTX4gSjF9+ZDYNehX1GAVqq5QmI9SSM6ZgwGu9tOXDpl4Xuo/Hg==" saltValue="TuXyNw22Xw6MfapTzPPUeA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27</vt:i4>
      </vt:variant>
    </vt:vector>
  </HeadingPairs>
  <TitlesOfParts>
    <vt:vector size="32" baseType="lpstr">
      <vt:lpstr>Facility Information</vt:lpstr>
      <vt:lpstr>Facility Processes</vt:lpstr>
      <vt:lpstr>Emission Calculations</vt:lpstr>
      <vt:lpstr>Facility Wide Emissions</vt:lpstr>
      <vt:lpstr>Emission Factors</vt:lpstr>
      <vt:lpstr>apptype</vt:lpstr>
      <vt:lpstr>aptype</vt:lpstr>
      <vt:lpstr>CHS</vt:lpstr>
      <vt:lpstr>CHSCon</vt:lpstr>
      <vt:lpstr>CHSControl</vt:lpstr>
      <vt:lpstr>CISCon</vt:lpstr>
      <vt:lpstr>CleanHandleStore</vt:lpstr>
      <vt:lpstr>Combust</vt:lpstr>
      <vt:lpstr>Combustion</vt:lpstr>
      <vt:lpstr>Dryer</vt:lpstr>
      <vt:lpstr>Drying</vt:lpstr>
      <vt:lpstr>Employ</vt:lpstr>
      <vt:lpstr>LCon</vt:lpstr>
      <vt:lpstr>LControl</vt:lpstr>
      <vt:lpstr>Load</vt:lpstr>
      <vt:lpstr>LoadCon</vt:lpstr>
      <vt:lpstr>Loading</vt:lpstr>
      <vt:lpstr>Loadout</vt:lpstr>
      <vt:lpstr>Oil</vt:lpstr>
      <vt:lpstr>OilCon</vt:lpstr>
      <vt:lpstr>'Facility Processes'!Print_Area</vt:lpstr>
      <vt:lpstr>RCon</vt:lpstr>
      <vt:lpstr>ReceivCon</vt:lpstr>
      <vt:lpstr>Receive</vt:lpstr>
      <vt:lpstr>ReceiveCon</vt:lpstr>
      <vt:lpstr>Receiving</vt:lpstr>
      <vt:lpstr>RoadCon</vt:lpstr>
    </vt:vector>
  </TitlesOfParts>
  <Company>IWRC University of Northern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Wittenburg</dc:creator>
  <cp:lastModifiedBy>Jennifer L Wittenburg</cp:lastModifiedBy>
  <cp:lastPrinted>2020-09-01T20:08:30Z</cp:lastPrinted>
  <dcterms:created xsi:type="dcterms:W3CDTF">2011-11-02T19:41:52Z</dcterms:created>
  <dcterms:modified xsi:type="dcterms:W3CDTF">2024-02-12T22:02:30Z</dcterms:modified>
</cp:coreProperties>
</file>