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IAEAP\MSEI\Calculators\2022 Calculators\"/>
    </mc:Choice>
  </mc:AlternateContent>
  <xr:revisionPtr revIDLastSave="0" documentId="13_ncr:1_{D36F3704-5C4B-4E8A-9FAC-FF6F14CC38B6}" xr6:coauthVersionLast="36" xr6:coauthVersionMax="36" xr10:uidLastSave="{00000000-0000-0000-0000-000000000000}"/>
  <bookViews>
    <workbookView xWindow="285" yWindow="-15" windowWidth="17220" windowHeight="11580" xr2:uid="{00000000-000D-0000-FFFF-FFFF00000000}"/>
  </bookViews>
  <sheets>
    <sheet name="Welding" sheetId="2" r:id="rId1"/>
    <sheet name="Permit Limits" sheetId="6" state="hidden" r:id="rId2"/>
    <sheet name="INV-3" sheetId="4" state="hidden" r:id="rId3"/>
    <sheet name="Process Emissions" sheetId="5" r:id="rId4"/>
    <sheet name="EF's" sheetId="3" r:id="rId5"/>
  </sheets>
  <definedNames>
    <definedName name="_xlnm.Print_Area" localSheetId="2">'INV-3'!$A$1:$J$23</definedName>
    <definedName name="_xlnm.Print_Area" localSheetId="3">'Process Emissions'!$A$2:$H$21</definedName>
  </definedNames>
  <calcPr calcId="191029"/>
</workbook>
</file>

<file path=xl/calcChain.xml><?xml version="1.0" encoding="utf-8"?>
<calcChain xmlns="http://schemas.openxmlformats.org/spreadsheetml/2006/main">
  <c r="D13" i="2" l="1"/>
  <c r="E13" i="2" s="1"/>
  <c r="D15" i="2"/>
  <c r="D14" i="2"/>
  <c r="F13" i="2"/>
  <c r="G13" i="2" s="1"/>
  <c r="F15" i="2"/>
  <c r="F14" i="2"/>
  <c r="G14" i="2" s="1"/>
  <c r="H13" i="2"/>
  <c r="I13" i="2" s="1"/>
  <c r="H15" i="2"/>
  <c r="H14" i="2"/>
  <c r="J13" i="2"/>
  <c r="K13" i="2" s="1"/>
  <c r="J15" i="2"/>
  <c r="J14" i="2"/>
  <c r="L13" i="2"/>
  <c r="M13" i="2" s="1"/>
  <c r="L14" i="2"/>
  <c r="M14" i="2" s="1"/>
  <c r="L15" i="2"/>
  <c r="N13" i="2"/>
  <c r="O13" i="2" s="1"/>
  <c r="N15" i="2"/>
  <c r="N14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E8" i="2"/>
  <c r="D4" i="4" s="1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15" i="2"/>
  <c r="M16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G10" i="4"/>
  <c r="I10" i="4" s="1"/>
  <c r="G9" i="4"/>
  <c r="I9" i="4" s="1"/>
  <c r="E14" i="2"/>
  <c r="E15" i="2"/>
  <c r="Q15" i="2" s="1"/>
  <c r="E16" i="2"/>
  <c r="Q16" i="2"/>
  <c r="E17" i="2"/>
  <c r="Q17" i="2" s="1"/>
  <c r="E18" i="2"/>
  <c r="Q18" i="2" s="1"/>
  <c r="E19" i="2"/>
  <c r="Q19" i="2" s="1"/>
  <c r="E20" i="2"/>
  <c r="Q20" i="2" s="1"/>
  <c r="E21" i="2"/>
  <c r="Q21" i="2" s="1"/>
  <c r="E22" i="2"/>
  <c r="Q22" i="2"/>
  <c r="E23" i="2"/>
  <c r="Q23" i="2" s="1"/>
  <c r="E24" i="2"/>
  <c r="Q24" i="2" s="1"/>
  <c r="E25" i="2"/>
  <c r="Q25" i="2" s="1"/>
  <c r="E26" i="2"/>
  <c r="Q26" i="2"/>
  <c r="E27" i="2"/>
  <c r="Q27" i="2" s="1"/>
  <c r="E28" i="2"/>
  <c r="Q28" i="2" s="1"/>
  <c r="E29" i="2"/>
  <c r="Q29" i="2" s="1"/>
  <c r="E30" i="2"/>
  <c r="Q30" i="2" s="1"/>
  <c r="C31" i="2"/>
  <c r="B6" i="5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E14" i="5"/>
  <c r="E15" i="5"/>
  <c r="Q14" i="2" l="1"/>
  <c r="G40" i="2"/>
  <c r="G36" i="2"/>
  <c r="G34" i="2"/>
  <c r="G37" i="2"/>
  <c r="G39" i="2"/>
  <c r="G31" i="2"/>
  <c r="C35" i="2" s="1"/>
  <c r="K31" i="2"/>
  <c r="C37" i="2" s="1"/>
  <c r="M31" i="2"/>
  <c r="C38" i="2" s="1"/>
  <c r="O31" i="2"/>
  <c r="C39" i="2" s="1"/>
  <c r="I31" i="2"/>
  <c r="C36" i="2" s="1"/>
  <c r="E31" i="2"/>
  <c r="C34" i="2" s="1"/>
  <c r="G35" i="2"/>
  <c r="G38" i="2"/>
  <c r="Q13" i="2"/>
  <c r="Q31" i="2" l="1"/>
  <c r="C40" i="2" s="1"/>
  <c r="B23" i="4"/>
  <c r="F23" i="4" s="1"/>
  <c r="D21" i="5"/>
  <c r="B21" i="5"/>
  <c r="E19" i="5"/>
  <c r="B19" i="5"/>
  <c r="D19" i="5"/>
  <c r="D20" i="5"/>
  <c r="B20" i="5"/>
  <c r="B16" i="5"/>
  <c r="D16" i="5"/>
  <c r="D18" i="5"/>
  <c r="B18" i="5"/>
  <c r="C15" i="5"/>
  <c r="D15" i="5"/>
  <c r="B15" i="5"/>
  <c r="D14" i="5"/>
  <c r="B14" i="5"/>
  <c r="D17" i="5"/>
  <c r="B17" i="5"/>
  <c r="F21" i="4"/>
  <c r="D21" i="4"/>
  <c r="C22" i="4"/>
  <c r="D19" i="4"/>
  <c r="B22" i="4"/>
  <c r="F22" i="4" s="1"/>
  <c r="G19" i="4"/>
  <c r="E21" i="5"/>
  <c r="D22" i="4"/>
  <c r="F19" i="5"/>
  <c r="C9" i="4"/>
  <c r="G21" i="4"/>
  <c r="G22" i="4"/>
  <c r="D10" i="4"/>
  <c r="B19" i="4"/>
  <c r="I23" i="4"/>
  <c r="B18" i="4"/>
  <c r="F18" i="4" s="1"/>
  <c r="K21" i="4"/>
  <c r="I19" i="5" s="1"/>
  <c r="I21" i="4"/>
  <c r="I22" i="4"/>
  <c r="B10" i="4"/>
  <c r="F10" i="4" s="1"/>
  <c r="J10" i="4" s="1"/>
  <c r="K10" i="4" s="1"/>
  <c r="I15" i="5" s="1"/>
  <c r="E17" i="5"/>
  <c r="C17" i="5"/>
  <c r="D23" i="4"/>
  <c r="C21" i="4"/>
  <c r="E20" i="5"/>
  <c r="I18" i="4"/>
  <c r="C23" i="4"/>
  <c r="C19" i="5"/>
  <c r="B21" i="4"/>
  <c r="C18" i="5"/>
  <c r="C20" i="5"/>
  <c r="F15" i="5"/>
  <c r="C19" i="4"/>
  <c r="F19" i="4"/>
  <c r="J19" i="4" s="1"/>
  <c r="K19" i="4" s="1"/>
  <c r="I17" i="5" s="1"/>
  <c r="C21" i="5"/>
  <c r="G23" i="4"/>
  <c r="J21" i="4"/>
  <c r="I19" i="4"/>
  <c r="B9" i="4"/>
  <c r="F9" i="4" s="1"/>
  <c r="J9" i="4" s="1"/>
  <c r="K9" i="4" s="1"/>
  <c r="I14" i="5" s="1"/>
  <c r="E16" i="5"/>
  <c r="D20" i="4"/>
  <c r="B20" i="4"/>
  <c r="F20" i="4" s="1"/>
  <c r="D18" i="4"/>
  <c r="I20" i="4"/>
  <c r="C14" i="5"/>
  <c r="F14" i="5" s="1"/>
  <c r="C18" i="4"/>
  <c r="G18" i="4"/>
  <c r="C20" i="4"/>
  <c r="E18" i="5"/>
  <c r="C16" i="5"/>
  <c r="G20" i="4"/>
  <c r="D9" i="4"/>
  <c r="C10" i="4"/>
  <c r="F21" i="5" l="1"/>
  <c r="F18" i="5"/>
  <c r="J22" i="4"/>
  <c r="K22" i="4" s="1"/>
  <c r="I20" i="5" s="1"/>
  <c r="J23" i="4"/>
  <c r="K23" i="4" s="1"/>
  <c r="I21" i="5" s="1"/>
  <c r="F20" i="5"/>
  <c r="F16" i="5"/>
  <c r="F17" i="5"/>
  <c r="J20" i="4"/>
  <c r="K20" i="4" s="1"/>
  <c r="I18" i="5" s="1"/>
  <c r="J18" i="4"/>
  <c r="K18" i="4" s="1"/>
  <c r="I16" i="5" s="1"/>
</calcChain>
</file>

<file path=xl/sharedStrings.xml><?xml version="1.0" encoding="utf-8"?>
<sst xmlns="http://schemas.openxmlformats.org/spreadsheetml/2006/main" count="227" uniqueCount="159">
  <si>
    <t>TOTALS</t>
  </si>
  <si>
    <t>Usage lbs/yr</t>
  </si>
  <si>
    <t>Mn EF lbs/1,000lbs</t>
  </si>
  <si>
    <t>Mn tons/yr</t>
  </si>
  <si>
    <t>Ni</t>
  </si>
  <si>
    <t>Ni EF lbs/1,000lbs</t>
  </si>
  <si>
    <t>Ni tons/yr</t>
  </si>
  <si>
    <t>Cr EF lbs/1,000lbs</t>
  </si>
  <si>
    <t>Cr tons/yr</t>
  </si>
  <si>
    <t>lbs/1,000 lbs</t>
  </si>
  <si>
    <t>Mn</t>
  </si>
  <si>
    <t>Cr</t>
  </si>
  <si>
    <t>Co EF lbs/1,000lbs</t>
  </si>
  <si>
    <t>Co tons/yr</t>
  </si>
  <si>
    <t>Co</t>
  </si>
  <si>
    <t>Potential Emission Factor</t>
  </si>
  <si>
    <t>Actual Emission Factor</t>
  </si>
  <si>
    <t>Number of Welding Units =</t>
  </si>
  <si>
    <t>Emission Year:</t>
  </si>
  <si>
    <t>Facility Name:</t>
  </si>
  <si>
    <t>SMAW - E11018</t>
  </si>
  <si>
    <t>SMAW - E308</t>
  </si>
  <si>
    <t>SMAW - E310</t>
  </si>
  <si>
    <t>SMAW - E316</t>
  </si>
  <si>
    <t>SMAW - E410</t>
  </si>
  <si>
    <t>SMAW - E6010</t>
  </si>
  <si>
    <t>SMAW - E6011</t>
  </si>
  <si>
    <t>SMAW - E6012</t>
  </si>
  <si>
    <t>SMAW - E6013</t>
  </si>
  <si>
    <t>SMAW - E7018</t>
  </si>
  <si>
    <t>SMAW - E7024</t>
  </si>
  <si>
    <t>SMAW - E7028</t>
  </si>
  <si>
    <t>SMAW - E8018</t>
  </si>
  <si>
    <t>SMAW - E9015</t>
  </si>
  <si>
    <t>SMAW - E9018</t>
  </si>
  <si>
    <t>SMAW - ECoCr</t>
  </si>
  <si>
    <t>SMAW - ENi-Cl</t>
  </si>
  <si>
    <t>SMAW - ENiCrMo</t>
  </si>
  <si>
    <t>SMAW - Eni-Cu</t>
  </si>
  <si>
    <t>SMAW - 14Mn-2Cr</t>
  </si>
  <si>
    <t>SMAW - Aluminum</t>
  </si>
  <si>
    <t>GMAW - E308L</t>
  </si>
  <si>
    <t>GMAW - E70S</t>
  </si>
  <si>
    <t>GMAW - ER1260</t>
  </si>
  <si>
    <t>GMAW - ER5154</t>
  </si>
  <si>
    <t>GMAW - ER316</t>
  </si>
  <si>
    <t>GMAW - ERNiCrMo</t>
  </si>
  <si>
    <t>GMAW - ERNiCu</t>
  </si>
  <si>
    <t>GMAW - Aluminum</t>
  </si>
  <si>
    <t>FCAW - E110</t>
  </si>
  <si>
    <t>FCAW - E11018</t>
  </si>
  <si>
    <t>FCAW - E308LT</t>
  </si>
  <si>
    <t>FCAW - E316LT</t>
  </si>
  <si>
    <t>FCAW - E70T</t>
  </si>
  <si>
    <t>FCAW - E71T</t>
  </si>
  <si>
    <t>FCAW - Aluminum</t>
  </si>
  <si>
    <t>SAW - EM12K</t>
  </si>
  <si>
    <t>PM</t>
  </si>
  <si>
    <t>Pb</t>
  </si>
  <si>
    <t xml:space="preserve">            Form INV-3 EMISSION UNIT DESCRIPTION - POTENTIAL EMISSIONS</t>
  </si>
  <si>
    <t>12)  Maximum Hourly Design Rate</t>
  </si>
  <si>
    <t>Per Hour</t>
  </si>
  <si>
    <t>POTENTIAL EMISSIONS</t>
  </si>
  <si>
    <t>Air Pollutant</t>
  </si>
  <si>
    <t>Emission Factor</t>
  </si>
  <si>
    <t>Emission Factor Units</t>
  </si>
  <si>
    <t>Source of Emission Factor</t>
  </si>
  <si>
    <t>Ash or Sulfur %</t>
  </si>
  <si>
    <t>Potential Hourly Uncontrolled Emissions (lb/hr)</t>
  </si>
  <si>
    <t>Combined Control Efficiency</t>
  </si>
  <si>
    <t>Transfer Efficiency</t>
  </si>
  <si>
    <t>Potential Hourly Controlled Emissions (lb/hr)</t>
  </si>
  <si>
    <t>Potential Annual Emission (ton/yr)</t>
  </si>
  <si>
    <t>PM-2.5</t>
  </si>
  <si>
    <t>PM-10</t>
  </si>
  <si>
    <t>SO2</t>
  </si>
  <si>
    <t>NOx</t>
  </si>
  <si>
    <t>VOC</t>
  </si>
  <si>
    <t>CO</t>
  </si>
  <si>
    <t>Lead</t>
  </si>
  <si>
    <t>Ammonia</t>
  </si>
  <si>
    <t>1000 Pounds</t>
  </si>
  <si>
    <t>Permit Limits</t>
  </si>
  <si>
    <t>lb/hr</t>
  </si>
  <si>
    <t>ton/yr</t>
  </si>
  <si>
    <t>Particulate Matter</t>
  </si>
  <si>
    <t>PM10</t>
  </si>
  <si>
    <t>Sulfur Dioxides (SO2)</t>
  </si>
  <si>
    <t>Volatile Organic Compounds (VOC)</t>
  </si>
  <si>
    <t>Carbon Monoxide (CO)</t>
  </si>
  <si>
    <t>Lead (Pb)</t>
  </si>
  <si>
    <t>Single Hazardous Air Pollutant (HAP)</t>
  </si>
  <si>
    <t>Total Hazardous Air Pollutant (HAP)</t>
  </si>
  <si>
    <t>Nitrogen Oxides (NOx)</t>
  </si>
  <si>
    <t>Welding Wire/Rod</t>
  </si>
  <si>
    <t>Welding Wire Usage Limit</t>
  </si>
  <si>
    <t>Pounds/Yr</t>
  </si>
  <si>
    <t>Hours of Operation Limit</t>
  </si>
  <si>
    <t>Hours/Yr</t>
  </si>
  <si>
    <r>
      <t xml:space="preserve">Operating Limits (found in the section titled Operating Limits) - </t>
    </r>
    <r>
      <rPr>
        <b/>
        <sz val="10"/>
        <color indexed="48"/>
        <rFont val="Arial"/>
        <family val="2"/>
      </rPr>
      <t>Leave Blank if Not Applicable</t>
    </r>
  </si>
  <si>
    <r>
      <t xml:space="preserve">Emission Limits (found in the section titled Emission Limits) - </t>
    </r>
    <r>
      <rPr>
        <b/>
        <sz val="10"/>
        <color indexed="48"/>
        <rFont val="Arial"/>
        <family val="2"/>
      </rPr>
      <t>Leave Blank if Not Applicable</t>
    </r>
  </si>
  <si>
    <t>Note: If you have an hrs/day limit multipy by 365 to get hrs/yr</t>
  </si>
  <si>
    <t>PM2.5/PM10 tons/yr</t>
  </si>
  <si>
    <t xml:space="preserve">PM2.5/PM10 </t>
  </si>
  <si>
    <t>FCAW - Not Listed</t>
  </si>
  <si>
    <t>GMAW - Not Listed</t>
  </si>
  <si>
    <t>SMAW - Not Listed</t>
  </si>
  <si>
    <t>PM2.5/PM10 EF lbs/1,000 lbs</t>
  </si>
  <si>
    <t>Note:  Emission Factors (EF) for Welding Operations were taken from AP-42 Section 12.19, Tables 1 &amp; 2</t>
  </si>
  <si>
    <t>Permit Number (s)</t>
  </si>
  <si>
    <t>WELDING</t>
  </si>
  <si>
    <t>Control Efficiency (%) =</t>
  </si>
  <si>
    <t>9)    Raw Material</t>
  </si>
  <si>
    <t xml:space="preserve">  Note: This number will be used as the maximum hourly design rate on Form INV-3</t>
  </si>
  <si>
    <t>Mn Cmpds</t>
  </si>
  <si>
    <t>Ni Cmpds</t>
  </si>
  <si>
    <t>Cr Cmpds</t>
  </si>
  <si>
    <t>Cr - VI</t>
  </si>
  <si>
    <t>Co Cmpds</t>
  </si>
  <si>
    <t>Pb Cmpds</t>
  </si>
  <si>
    <t>Cr-VI</t>
  </si>
  <si>
    <t>Cr-VI EF lbs/1,000lbs</t>
  </si>
  <si>
    <t>Pb EF lbs/1,000lbs</t>
  </si>
  <si>
    <t>Pb tons/yr</t>
  </si>
  <si>
    <t>Cr-Vi</t>
  </si>
  <si>
    <t>Max lbs/hr wire/rod/electrode per unit =</t>
  </si>
  <si>
    <t>Wire/Rod/Electrode</t>
  </si>
  <si>
    <t>Maximum hourly usage (lbs/hr) =</t>
  </si>
  <si>
    <t>Complete the following information for all Welding Units associated with this welding booth/emission unit/permit:</t>
  </si>
  <si>
    <t>Choose the type(s) of Welding Wire/Rod/Electrode used with the emission units described above from the drop down list and enter the calendar year usage in pounds.</t>
  </si>
  <si>
    <t xml:space="preserve">      POTENTIAL EMISSIONS - Individual HAPs and additional regulated air pollutants - list the name in Column 14</t>
  </si>
  <si>
    <t>Process Emissions</t>
  </si>
  <si>
    <t>Information on this page should be referenced as you enter data into the Process Emissions section of SLEIS</t>
  </si>
  <si>
    <t>SLEIS PROCESS TAB</t>
  </si>
  <si>
    <t>Description of Process</t>
  </si>
  <si>
    <t>Welding</t>
  </si>
  <si>
    <t>Throughput Unit of Measure</t>
  </si>
  <si>
    <t>Throughput Type</t>
  </si>
  <si>
    <t>Input</t>
  </si>
  <si>
    <t>Throughput Material</t>
  </si>
  <si>
    <t>SLEIS EMISSIONS TAB</t>
  </si>
  <si>
    <t>PM25-PRI-PM2.5 Primary (Filt + Cond)</t>
  </si>
  <si>
    <t>PM10-PRI-PM10 Primary (Filt + Cond)</t>
  </si>
  <si>
    <t>Pollutant Code:</t>
  </si>
  <si>
    <t>Calculation Method</t>
  </si>
  <si>
    <t>Emission Factor (lbs/unit)</t>
  </si>
  <si>
    <t>Overall Control Efficiency (%)</t>
  </si>
  <si>
    <t>Estimated Emissions (Tons/Yr)</t>
  </si>
  <si>
    <t>7439965 - Manganese Compounds</t>
  </si>
  <si>
    <t>7440020 - Nickel</t>
  </si>
  <si>
    <t>7440473 - Chromium Compounds</t>
  </si>
  <si>
    <t>18540299 - Chromium (VI)</t>
  </si>
  <si>
    <t>7440484 - Cobalt Compounds</t>
  </si>
  <si>
    <t>7439921 - Lead</t>
  </si>
  <si>
    <t>Last Updated: 12/6/22</t>
  </si>
  <si>
    <t>Please fill in the yellow boxes and complete the chart below.  Once complete, click to the Process Emissions tab below.</t>
  </si>
  <si>
    <t>Annual Throughput</t>
  </si>
  <si>
    <t>E3LB - 1000 Pounds</t>
  </si>
  <si>
    <t>7-Welding Rod OR 77-Electrode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</si>
</sst>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6" x14ac:knownFonts="1">
    <font>
      <sz val="10"/>
      <name val="Arial"/>
    </font>
    <font>
      <sz val="9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u/>
      <sz val="8"/>
      <name val="Times New Roman"/>
      <family val="1"/>
    </font>
    <font>
      <b/>
      <sz val="8"/>
      <color indexed="12"/>
      <name val="Times New Roman"/>
      <family val="1"/>
    </font>
    <font>
      <b/>
      <u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i/>
      <sz val="8"/>
      <name val="Arial"/>
      <family val="2"/>
    </font>
    <font>
      <b/>
      <sz val="10"/>
      <name val="Times New Roman"/>
      <family val="1"/>
    </font>
    <font>
      <b/>
      <sz val="9"/>
      <color indexed="12"/>
      <name val="Times New Roman"/>
      <family val="1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sz val="9"/>
      <name val="Times New Roman"/>
      <family val="1"/>
    </font>
    <font>
      <sz val="9"/>
      <color indexed="18"/>
      <name val="Times New Roman"/>
      <family val="1"/>
    </font>
    <font>
      <i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9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2" fillId="0" borderId="1" xfId="0" applyFont="1" applyBorder="1" applyAlignment="1">
      <alignment horizontal="center"/>
    </xf>
    <xf numFmtId="1" fontId="0" fillId="0" borderId="0" xfId="0" applyNumberFormat="1"/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0" fillId="0" borderId="1" xfId="0" applyBorder="1" applyProtection="1"/>
    <xf numFmtId="0" fontId="13" fillId="0" borderId="0" xfId="0" applyFont="1" applyProtection="1"/>
    <xf numFmtId="0" fontId="0" fillId="0" borderId="0" xfId="0" applyProtection="1"/>
    <xf numFmtId="0" fontId="11" fillId="0" borderId="0" xfId="0" applyFont="1" applyProtection="1"/>
    <xf numFmtId="0" fontId="0" fillId="0" borderId="1" xfId="0" applyBorder="1" applyAlignment="1" applyProtection="1">
      <alignment horizontal="center"/>
    </xf>
    <xf numFmtId="0" fontId="0" fillId="2" borderId="1" xfId="0" applyFill="1" applyBorder="1" applyProtection="1"/>
    <xf numFmtId="0" fontId="16" fillId="0" borderId="0" xfId="0" applyFont="1" applyProtection="1"/>
    <xf numFmtId="0" fontId="2" fillId="0" borderId="0" xfId="0" applyFont="1" applyAlignment="1" applyProtection="1">
      <alignment horizontal="center"/>
    </xf>
    <xf numFmtId="0" fontId="0" fillId="3" borderId="0" xfId="0" applyFill="1" applyProtection="1"/>
    <xf numFmtId="0" fontId="1" fillId="0" borderId="0" xfId="0" applyFont="1" applyProtection="1"/>
    <xf numFmtId="2" fontId="4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2" fontId="3" fillId="0" borderId="0" xfId="0" applyNumberFormat="1" applyFont="1" applyAlignment="1" applyProtection="1"/>
    <xf numFmtId="0" fontId="2" fillId="0" borderId="0" xfId="0" applyFont="1" applyProtection="1"/>
    <xf numFmtId="0" fontId="0" fillId="0" borderId="0" xfId="0" applyFill="1" applyProtection="1"/>
    <xf numFmtId="0" fontId="2" fillId="0" borderId="0" xfId="0" applyFont="1"/>
    <xf numFmtId="0" fontId="10" fillId="0" borderId="0" xfId="0" applyFont="1" applyAlignment="1" applyProtection="1">
      <alignment horizontal="left"/>
    </xf>
    <xf numFmtId="0" fontId="18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1" xfId="0" applyFont="1" applyBorder="1" applyProtection="1"/>
    <xf numFmtId="0" fontId="6" fillId="0" borderId="1" xfId="0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64" fontId="9" fillId="0" borderId="1" xfId="0" applyNumberFormat="1" applyFont="1" applyBorder="1" applyAlignment="1" applyProtection="1">
      <alignment horizontal="center"/>
    </xf>
    <xf numFmtId="165" fontId="9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19" fillId="0" borderId="0" xfId="0" applyFont="1" applyAlignment="1" applyProtection="1">
      <alignment horizontal="left"/>
    </xf>
    <xf numFmtId="164" fontId="20" fillId="0" borderId="1" xfId="0" applyNumberFormat="1" applyFont="1" applyBorder="1" applyAlignment="1" applyProtection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/>
    <xf numFmtId="2" fontId="24" fillId="0" borderId="1" xfId="0" applyNumberFormat="1" applyFont="1" applyFill="1" applyBorder="1"/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1" fillId="2" borderId="1" xfId="0" applyFont="1" applyFill="1" applyBorder="1"/>
    <xf numFmtId="0" fontId="21" fillId="0" borderId="1" xfId="0" applyFont="1" applyBorder="1"/>
    <xf numFmtId="2" fontId="21" fillId="0" borderId="1" xfId="0" applyNumberFormat="1" applyFont="1" applyFill="1" applyBorder="1"/>
    <xf numFmtId="2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1" fillId="0" borderId="0" xfId="0" applyFont="1" applyBorder="1" applyAlignment="1"/>
    <xf numFmtId="0" fontId="0" fillId="0" borderId="0" xfId="0" applyBorder="1" applyAlignment="1"/>
    <xf numFmtId="0" fontId="0" fillId="4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8" fillId="0" borderId="0" xfId="0" applyFont="1" applyBorder="1" applyAlignment="1" applyProtection="1">
      <alignment horizontal="left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</xf>
    <xf numFmtId="0" fontId="1" fillId="4" borderId="1" xfId="0" applyFon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/>
    <xf numFmtId="0" fontId="0" fillId="0" borderId="0" xfId="0" applyFill="1" applyBorder="1" applyAlignment="1"/>
    <xf numFmtId="0" fontId="7" fillId="0" borderId="0" xfId="0" applyFont="1" applyBorder="1" applyAlignment="1" applyProtection="1">
      <alignment horizontal="center"/>
    </xf>
    <xf numFmtId="164" fontId="20" fillId="0" borderId="0" xfId="0" applyNumberFormat="1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right"/>
    </xf>
    <xf numFmtId="0" fontId="1" fillId="0" borderId="0" xfId="0" applyFont="1" applyFill="1" applyBorder="1" applyProtection="1">
      <protection locked="0"/>
    </xf>
    <xf numFmtId="0" fontId="29" fillId="0" borderId="0" xfId="0" applyFont="1" applyProtection="1"/>
    <xf numFmtId="0" fontId="30" fillId="0" borderId="0" xfId="0" applyFont="1" applyFill="1" applyBorder="1" applyProtection="1"/>
    <xf numFmtId="164" fontId="5" fillId="0" borderId="1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27" fillId="0" borderId="1" xfId="0" applyFont="1" applyFill="1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horizontal="center"/>
    </xf>
    <xf numFmtId="164" fontId="20" fillId="0" borderId="1" xfId="0" applyNumberFormat="1" applyFont="1" applyFill="1" applyBorder="1" applyAlignment="1" applyProtection="1">
      <alignment horizontal="center"/>
    </xf>
    <xf numFmtId="2" fontId="27" fillId="0" borderId="1" xfId="0" applyNumberFormat="1" applyFont="1" applyBorder="1" applyAlignment="1" applyProtection="1">
      <alignment horizontal="center"/>
    </xf>
    <xf numFmtId="0" fontId="27" fillId="3" borderId="1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2" fontId="27" fillId="3" borderId="1" xfId="0" applyNumberFormat="1" applyFon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/>
    </xf>
    <xf numFmtId="2" fontId="21" fillId="0" borderId="1" xfId="0" applyNumberFormat="1" applyFont="1" applyBorder="1"/>
    <xf numFmtId="0" fontId="1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64" fontId="27" fillId="0" borderId="1" xfId="0" applyNumberFormat="1" applyFont="1" applyBorder="1" applyAlignment="1" applyProtection="1">
      <alignment horizontal="center"/>
    </xf>
    <xf numFmtId="164" fontId="27" fillId="3" borderId="1" xfId="0" applyNumberFormat="1" applyFont="1" applyFill="1" applyBorder="1" applyAlignment="1" applyProtection="1">
      <alignment horizontal="center"/>
    </xf>
    <xf numFmtId="0" fontId="27" fillId="0" borderId="1" xfId="0" applyFont="1" applyFill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2" fillId="0" borderId="0" xfId="0" applyFont="1" applyProtection="1"/>
    <xf numFmtId="0" fontId="0" fillId="4" borderId="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6" xfId="0" applyFill="1" applyBorder="1" applyAlignment="1" applyProtection="1">
      <protection locked="0"/>
    </xf>
    <xf numFmtId="0" fontId="11" fillId="0" borderId="5" xfId="0" applyFont="1" applyBorder="1" applyAlignment="1" applyProtection="1"/>
    <xf numFmtId="0" fontId="0" fillId="0" borderId="3" xfId="0" applyBorder="1" applyAlignment="1"/>
    <xf numFmtId="0" fontId="15" fillId="0" borderId="7" xfId="0" applyFont="1" applyBorder="1" applyAlignment="1"/>
    <xf numFmtId="0" fontId="15" fillId="0" borderId="8" xfId="0" applyFont="1" applyBorder="1" applyAlignment="1"/>
    <xf numFmtId="0" fontId="15" fillId="0" borderId="6" xfId="0" applyFont="1" applyBorder="1" applyAlignment="1"/>
    <xf numFmtId="0" fontId="11" fillId="0" borderId="2" xfId="0" applyFont="1" applyBorder="1" applyAlignment="1"/>
    <xf numFmtId="0" fontId="0" fillId="0" borderId="2" xfId="0" applyBorder="1" applyAlignment="1"/>
    <xf numFmtId="0" fontId="15" fillId="0" borderId="9" xfId="0" applyFont="1" applyBorder="1" applyAlignment="1"/>
    <xf numFmtId="165" fontId="23" fillId="0" borderId="8" xfId="0" applyNumberFormat="1" applyFont="1" applyBorder="1" applyAlignment="1"/>
    <xf numFmtId="0" fontId="22" fillId="0" borderId="5" xfId="0" applyFont="1" applyBorder="1" applyAlignment="1"/>
    <xf numFmtId="0" fontId="22" fillId="0" borderId="3" xfId="0" applyFont="1" applyBorder="1" applyAlignment="1"/>
    <xf numFmtId="0" fontId="23" fillId="0" borderId="3" xfId="0" applyFont="1" applyBorder="1" applyAlignment="1"/>
    <xf numFmtId="0" fontId="23" fillId="0" borderId="6" xfId="0" applyFont="1" applyBorder="1" applyAlignment="1"/>
    <xf numFmtId="2" fontId="21" fillId="0" borderId="1" xfId="0" applyNumberFormat="1" applyFont="1" applyBorder="1" applyAlignment="1">
      <alignment horizontal="center"/>
    </xf>
    <xf numFmtId="0" fontId="15" fillId="0" borderId="5" xfId="0" applyFont="1" applyBorder="1" applyAlignment="1"/>
    <xf numFmtId="0" fontId="15" fillId="0" borderId="3" xfId="0" applyFont="1" applyBorder="1" applyAlignment="1"/>
    <xf numFmtId="0" fontId="27" fillId="0" borderId="1" xfId="0" applyFont="1" applyBorder="1" applyAlignment="1" applyProtection="1">
      <alignment horizontal="right"/>
    </xf>
    <xf numFmtId="0" fontId="0" fillId="0" borderId="5" xfId="0" applyBorder="1" applyProtection="1"/>
    <xf numFmtId="2" fontId="1" fillId="0" borderId="9" xfId="0" applyNumberFormat="1" applyFont="1" applyBorder="1" applyAlignment="1">
      <alignment horizontal="center"/>
    </xf>
    <xf numFmtId="0" fontId="0" fillId="0" borderId="9" xfId="0" applyBorder="1" applyAlignment="1"/>
    <xf numFmtId="0" fontId="15" fillId="0" borderId="9" xfId="0" applyFont="1" applyBorder="1" applyAlignment="1">
      <alignment horizontal="left"/>
    </xf>
    <xf numFmtId="0" fontId="1" fillId="0" borderId="9" xfId="0" applyFont="1" applyBorder="1" applyAlignment="1"/>
    <xf numFmtId="0" fontId="0" fillId="0" borderId="4" xfId="0" applyBorder="1" applyAlignment="1">
      <alignment horizontal="center"/>
    </xf>
    <xf numFmtId="0" fontId="0" fillId="0" borderId="5" xfId="0" applyBorder="1"/>
    <xf numFmtId="165" fontId="22" fillId="0" borderId="7" xfId="0" applyNumberFormat="1" applyFont="1" applyBorder="1" applyAlignment="1"/>
    <xf numFmtId="0" fontId="22" fillId="0" borderId="7" xfId="0" applyFont="1" applyBorder="1" applyAlignment="1"/>
    <xf numFmtId="0" fontId="22" fillId="0" borderId="9" xfId="0" applyFont="1" applyBorder="1" applyAlignment="1"/>
    <xf numFmtId="0" fontId="22" fillId="0" borderId="8" xfId="0" applyFont="1" applyBorder="1" applyAlignment="1"/>
    <xf numFmtId="0" fontId="0" fillId="0" borderId="0" xfId="0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33" fillId="0" borderId="0" xfId="0" applyFont="1" applyBorder="1" applyAlignment="1"/>
    <xf numFmtId="0" fontId="1" fillId="4" borderId="5" xfId="0" applyFont="1" applyFill="1" applyBorder="1" applyAlignment="1" applyProtection="1"/>
    <xf numFmtId="0" fontId="15" fillId="0" borderId="10" xfId="0" applyFont="1" applyBorder="1" applyAlignment="1"/>
    <xf numFmtId="0" fontId="0" fillId="0" borderId="0" xfId="0" applyBorder="1"/>
    <xf numFmtId="0" fontId="1" fillId="4" borderId="1" xfId="0" applyFont="1" applyFill="1" applyBorder="1" applyAlignment="1" applyProtection="1"/>
    <xf numFmtId="0" fontId="34" fillId="6" borderId="0" xfId="0" applyFont="1" applyFill="1" applyBorder="1" applyAlignment="1" applyProtection="1">
      <alignment horizontal="left"/>
    </xf>
    <xf numFmtId="2" fontId="35" fillId="0" borderId="1" xfId="0" applyNumberFormat="1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15" fillId="0" borderId="2" xfId="0" applyFont="1" applyBorder="1" applyAlignment="1"/>
    <xf numFmtId="2" fontId="1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34" fillId="0" borderId="0" xfId="0" applyFont="1" applyFill="1" applyBorder="1" applyAlignment="1" applyProtection="1">
      <alignment horizontal="left"/>
    </xf>
    <xf numFmtId="0" fontId="33" fillId="0" borderId="1" xfId="0" applyFont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21" fillId="0" borderId="1" xfId="0" applyFont="1" applyBorder="1" applyAlignment="1" applyProtection="1">
      <alignment horizontal="left" wrapText="1"/>
    </xf>
    <xf numFmtId="0" fontId="1" fillId="4" borderId="3" xfId="0" applyFont="1" applyFill="1" applyBorder="1" applyAlignment="1" applyProtection="1"/>
    <xf numFmtId="0" fontId="1" fillId="4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82"/>
  <sheetViews>
    <sheetView tabSelected="1" topLeftCell="B1" workbookViewId="0">
      <selection activeCell="B1" sqref="B1"/>
    </sheetView>
  </sheetViews>
  <sheetFormatPr defaultRowHeight="12.75" x14ac:dyDescent="0.2"/>
  <cols>
    <col min="1" max="1" width="15.140625" style="14" hidden="1" customWidth="1"/>
    <col min="2" max="2" width="16.28515625" style="14" customWidth="1"/>
    <col min="3" max="3" width="15.42578125" style="14" customWidth="1"/>
    <col min="4" max="4" width="12.5703125" style="14" customWidth="1"/>
    <col min="5" max="5" width="10.5703125" style="14" customWidth="1"/>
    <col min="6" max="6" width="10" style="14" customWidth="1"/>
    <col min="7" max="7" width="7.140625" style="14" customWidth="1"/>
    <col min="8" max="8" width="9.5703125" style="14" customWidth="1"/>
    <col min="9" max="9" width="7" style="14" customWidth="1"/>
    <col min="10" max="10" width="10" style="14" bestFit="1" customWidth="1"/>
    <col min="11" max="11" width="7" style="14" customWidth="1"/>
    <col min="12" max="12" width="9.5703125" style="14" bestFit="1" customWidth="1"/>
    <col min="13" max="13" width="7.85546875" style="14" customWidth="1"/>
    <col min="14" max="14" width="9.5703125" style="14" customWidth="1"/>
    <col min="15" max="15" width="7.7109375" style="14" customWidth="1"/>
    <col min="16" max="16" width="9.5703125" style="26" bestFit="1" customWidth="1"/>
    <col min="17" max="17" width="7.28515625" style="26" customWidth="1"/>
    <col min="18" max="18" width="9.140625" style="26"/>
    <col min="19" max="19" width="10.5703125" style="26" customWidth="1"/>
    <col min="20" max="20" width="10.140625" style="26" customWidth="1"/>
    <col min="21" max="21" width="10.5703125" style="26" customWidth="1"/>
    <col min="22" max="24" width="9.140625" style="26"/>
    <col min="25" max="25" width="10.140625" style="26" customWidth="1"/>
    <col min="26" max="114" width="9.140625" style="26"/>
    <col min="115" max="16384" width="9.140625" style="14"/>
  </cols>
  <sheetData>
    <row r="1" spans="1:114" ht="15.75" x14ac:dyDescent="0.25">
      <c r="B1" s="13" t="s">
        <v>110</v>
      </c>
      <c r="P1" s="92" t="s">
        <v>154</v>
      </c>
    </row>
    <row r="2" spans="1:114" ht="12" customHeight="1" x14ac:dyDescent="0.2">
      <c r="B2" s="127" t="s">
        <v>155</v>
      </c>
      <c r="C2" s="147"/>
      <c r="D2" s="147"/>
      <c r="E2" s="147"/>
      <c r="F2" s="147"/>
      <c r="G2" s="147"/>
      <c r="H2" s="147"/>
      <c r="I2" s="147"/>
      <c r="J2" s="148"/>
    </row>
    <row r="3" spans="1:114" s="61" customFormat="1" ht="12" customHeight="1" x14ac:dyDescent="0.2">
      <c r="B3" s="145"/>
      <c r="C3" s="145"/>
      <c r="D3" s="145"/>
      <c r="E3" s="145"/>
      <c r="F3" s="145"/>
      <c r="G3" s="145"/>
      <c r="H3" s="145"/>
      <c r="I3" s="145"/>
      <c r="J3" s="145"/>
    </row>
    <row r="4" spans="1:114" ht="17.25" customHeight="1" x14ac:dyDescent="0.2">
      <c r="B4" s="31" t="s">
        <v>19</v>
      </c>
      <c r="C4" s="93"/>
      <c r="D4" s="94"/>
      <c r="E4" s="94"/>
      <c r="F4" s="94"/>
      <c r="G4" s="94"/>
      <c r="H4" s="95"/>
      <c r="K4" s="96" t="s">
        <v>18</v>
      </c>
      <c r="L4" s="97"/>
      <c r="M4" s="91"/>
      <c r="N4" s="54"/>
    </row>
    <row r="5" spans="1:114" hidden="1" x14ac:dyDescent="0.2">
      <c r="C5" s="71" t="s">
        <v>128</v>
      </c>
      <c r="D5" s="62"/>
      <c r="E5" s="62"/>
      <c r="F5" s="62"/>
      <c r="G5" s="62"/>
      <c r="H5" s="62"/>
      <c r="I5" s="26"/>
      <c r="J5" s="26"/>
      <c r="K5" s="63"/>
      <c r="L5" s="63"/>
      <c r="M5" s="63"/>
      <c r="N5" s="64"/>
      <c r="O5" s="61"/>
    </row>
    <row r="6" spans="1:114" hidden="1" x14ac:dyDescent="0.2">
      <c r="C6" s="113"/>
      <c r="D6" s="112" t="s">
        <v>17</v>
      </c>
      <c r="E6" s="58"/>
    </row>
    <row r="7" spans="1:114" hidden="1" x14ac:dyDescent="0.2">
      <c r="C7" s="113"/>
      <c r="D7" s="112" t="s">
        <v>125</v>
      </c>
      <c r="E7" s="58"/>
    </row>
    <row r="8" spans="1:114" hidden="1" x14ac:dyDescent="0.2">
      <c r="C8" s="113"/>
      <c r="D8" s="112" t="s">
        <v>127</v>
      </c>
      <c r="E8" s="59">
        <f>E6*E7</f>
        <v>0</v>
      </c>
      <c r="F8" s="70" t="s">
        <v>113</v>
      </c>
    </row>
    <row r="9" spans="1:114" ht="15" customHeight="1" x14ac:dyDescent="0.2">
      <c r="C9" s="113"/>
      <c r="D9" s="112" t="s">
        <v>111</v>
      </c>
      <c r="E9" s="60"/>
    </row>
    <row r="10" spans="1:114" ht="12.75" customHeight="1" x14ac:dyDescent="0.2">
      <c r="C10" s="68"/>
      <c r="D10" s="54"/>
      <c r="E10" s="69"/>
    </row>
    <row r="11" spans="1:114" x14ac:dyDescent="0.2">
      <c r="B11" s="57" t="s">
        <v>129</v>
      </c>
      <c r="C11" s="56"/>
      <c r="F11" s="29"/>
    </row>
    <row r="12" spans="1:114" ht="24.75" customHeight="1" x14ac:dyDescent="0.2">
      <c r="A12" s="4" t="s">
        <v>55</v>
      </c>
      <c r="B12" s="73" t="s">
        <v>126</v>
      </c>
      <c r="C12" s="74" t="s">
        <v>1</v>
      </c>
      <c r="D12" s="74" t="s">
        <v>107</v>
      </c>
      <c r="E12" s="74" t="s">
        <v>102</v>
      </c>
      <c r="F12" s="74" t="s">
        <v>2</v>
      </c>
      <c r="G12" s="74" t="s">
        <v>3</v>
      </c>
      <c r="H12" s="74" t="s">
        <v>5</v>
      </c>
      <c r="I12" s="74" t="s">
        <v>6</v>
      </c>
      <c r="J12" s="74" t="s">
        <v>7</v>
      </c>
      <c r="K12" s="74" t="s">
        <v>8</v>
      </c>
      <c r="L12" s="74" t="s">
        <v>121</v>
      </c>
      <c r="M12" s="74" t="s">
        <v>8</v>
      </c>
      <c r="N12" s="74" t="s">
        <v>12</v>
      </c>
      <c r="O12" s="74" t="s">
        <v>13</v>
      </c>
      <c r="P12" s="74" t="s">
        <v>122</v>
      </c>
      <c r="Q12" s="74" t="s">
        <v>123</v>
      </c>
    </row>
    <row r="13" spans="1:114" x14ac:dyDescent="0.2">
      <c r="A13" s="4" t="s">
        <v>49</v>
      </c>
      <c r="B13" s="75"/>
      <c r="C13" s="76"/>
      <c r="D13" s="77" t="str">
        <f>IF(C13&gt;0,(LOOKUP(B13,'EF''s'!$A$2:$A$40,'EF''s'!$B$2:$B$40)),(" "))</f>
        <v xml:space="preserve"> </v>
      </c>
      <c r="E13" s="78">
        <f t="shared" ref="E13:E30" si="0">IF(C13&gt;0,(C13*D13/2000/1000*(100-$E$9)/100),(0))</f>
        <v>0</v>
      </c>
      <c r="F13" s="77" t="str">
        <f>IF(C13&gt;0,LOOKUP(B13,'EF''s'!$A$2:$A$40,'EF''s'!$F$2:$F$40)," ")</f>
        <v xml:space="preserve"> </v>
      </c>
      <c r="G13" s="40">
        <f>IF(C13&gt;0,(C13*F13/1000/2000),(0))</f>
        <v>0</v>
      </c>
      <c r="H13" s="77" t="str">
        <f>IF(C13&gt;0,LOOKUP(B13,'EF''s'!$A$2:$A$40,'EF''s'!$G$2:$G$40)," ")</f>
        <v xml:space="preserve"> </v>
      </c>
      <c r="I13" s="78">
        <f>IF(C13&gt;0,C13*H13/1000/2000,0)</f>
        <v>0</v>
      </c>
      <c r="J13" s="77" t="str">
        <f>IF(C13&gt;0,LOOKUP(B13,'EF''s'!$A$2:$A$40,'EF''s'!$C$2:$C$40)," ")</f>
        <v xml:space="preserve"> </v>
      </c>
      <c r="K13" s="40">
        <f>IF(C13&gt;0,C13*J13/1000/2000,0)</f>
        <v>0</v>
      </c>
      <c r="L13" s="88" t="str">
        <f>IF(C13&gt;0,LOOKUP(B13,'EF''s'!$A$2:$A$40,'EF''s'!D2:D41)," ")</f>
        <v xml:space="preserve"> </v>
      </c>
      <c r="M13" s="40">
        <f>IF(C13&gt;0,C13*L13/1000/2000,0)</f>
        <v>0</v>
      </c>
      <c r="N13" s="88" t="str">
        <f>IF(C13&gt;0,LOOKUP(B13,'EF''s'!$A$2:$A$40,'EF''s'!$E$2:$E$40)," ")</f>
        <v xml:space="preserve"> </v>
      </c>
      <c r="O13" s="40">
        <f>IF(C13&gt;0,C13*N13/1000/2000,0)</f>
        <v>0</v>
      </c>
      <c r="P13" s="88" t="str">
        <f>IF(C13&gt;0,LOOKUP(B13,'EF''s'!$A$2:$A$40,'EF''s'!$H$2:$H$41)," ")</f>
        <v xml:space="preserve"> </v>
      </c>
      <c r="Q13" s="40">
        <f>IF(E13&gt;0,E13*P13/1000/2000,0)</f>
        <v>0</v>
      </c>
    </row>
    <row r="14" spans="1:114" s="20" customFormat="1" x14ac:dyDescent="0.2">
      <c r="A14" s="4" t="s">
        <v>50</v>
      </c>
      <c r="B14" s="80"/>
      <c r="C14" s="80"/>
      <c r="D14" s="81" t="str">
        <f>IF(C14&gt;0,(LOOKUP(B14,'EF''s'!$A$2:$A$40,'EF''s'!$B$2:$B$40)),(" "))</f>
        <v xml:space="preserve"> </v>
      </c>
      <c r="E14" s="82">
        <f t="shared" si="0"/>
        <v>0</v>
      </c>
      <c r="F14" s="81" t="str">
        <f>IF(C14&gt;0,LOOKUP(B14,'EF''s'!$A$2:$A$40,'EF''s'!$F$2:$F$40)," ")</f>
        <v xml:space="preserve"> </v>
      </c>
      <c r="G14" s="82">
        <f t="shared" ref="G14:G30" si="1">IF(C14&gt;0,(C14*F14/1000/2000),(0))</f>
        <v>0</v>
      </c>
      <c r="H14" s="81" t="str">
        <f>IF(C14&gt;0,LOOKUP(B14,'EF''s'!$A$2:$A$40,'EF''s'!$G$2:$G$40)," ")</f>
        <v xml:space="preserve"> </v>
      </c>
      <c r="I14" s="82">
        <f t="shared" ref="I14:I30" si="2">IF(C14&gt;0,C14*H14/1000/2000,0)</f>
        <v>0</v>
      </c>
      <c r="J14" s="81" t="str">
        <f>IF(C14&gt;0,LOOKUP(B14,'EF''s'!$A$2:$A$40,'EF''s'!$C$2:$C$40)," ")</f>
        <v xml:space="preserve"> </v>
      </c>
      <c r="K14" s="82">
        <f t="shared" ref="K14:K30" si="3">IF(C14&gt;0,C14*J14/1000/2000,0)</f>
        <v>0</v>
      </c>
      <c r="L14" s="89" t="str">
        <f>IF(C14&gt;0,LOOKUP(B14,'EF''s'!$A$2:$A$40,'EF''s'!D2:D41)," ")</f>
        <v xml:space="preserve"> </v>
      </c>
      <c r="M14" s="82">
        <f t="shared" ref="M14:M30" si="4">IF(C14&gt;0,C14*L14/1000/2000,0)</f>
        <v>0</v>
      </c>
      <c r="N14" s="89" t="str">
        <f>IF(C14&gt;0,LOOKUP(B14,'EF''s'!$A$2:$A$40,'EF''s'!$E$2:$E$40)," ")</f>
        <v xml:space="preserve"> </v>
      </c>
      <c r="O14" s="82">
        <f t="shared" ref="O14:O30" si="5">IF(C14&gt;0,C14*N14/1000/2000,0)</f>
        <v>0</v>
      </c>
      <c r="P14" s="89" t="str">
        <f>IF(C14&gt;0,LOOKUP(B14,'EF''s'!$A$2:$A$40,'EF''s'!$H$2:$H$41)," ")</f>
        <v xml:space="preserve"> </v>
      </c>
      <c r="Q14" s="82">
        <f t="shared" ref="Q14:Q30" si="6">IF(E14&gt;0,E14*P14/1000/2000,0)</f>
        <v>0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</row>
    <row r="15" spans="1:114" x14ac:dyDescent="0.2">
      <c r="A15" s="4" t="s">
        <v>51</v>
      </c>
      <c r="B15" s="75"/>
      <c r="C15" s="76"/>
      <c r="D15" s="77" t="str">
        <f>IF(C15&gt;0,(LOOKUP(B15,'EF''s'!$A$2:$A$40,'EF''s'!$B$2:$B$40)),(" "))</f>
        <v xml:space="preserve"> </v>
      </c>
      <c r="E15" s="78">
        <f t="shared" si="0"/>
        <v>0</v>
      </c>
      <c r="F15" s="77" t="str">
        <f>IF(C15&gt;0,LOOKUP(B15,'EF''s'!$A$2:$A$40,'EF''s'!$F$2:$F$40)," ")</f>
        <v xml:space="preserve"> </v>
      </c>
      <c r="G15" s="40">
        <f t="shared" si="1"/>
        <v>0</v>
      </c>
      <c r="H15" s="77" t="str">
        <f>IF(C15&gt;0,LOOKUP(B15,'EF''s'!$A$2:$A$40,'EF''s'!$G$2:$G$40)," ")</f>
        <v xml:space="preserve"> </v>
      </c>
      <c r="I15" s="78">
        <f t="shared" si="2"/>
        <v>0</v>
      </c>
      <c r="J15" s="77" t="str">
        <f>IF(C15&gt;0,LOOKUP(B15,'EF''s'!$A$2:$A$40,'EF''s'!$C$2:$C$40)," ")</f>
        <v xml:space="preserve"> </v>
      </c>
      <c r="K15" s="40">
        <f t="shared" si="3"/>
        <v>0</v>
      </c>
      <c r="L15" s="88" t="str">
        <f>IF(C15&gt;0,LOOKUP(B15,'EF''s'!A2:A41,'EF''s'!D2:D41)," ")</f>
        <v xml:space="preserve"> </v>
      </c>
      <c r="M15" s="40">
        <f t="shared" si="4"/>
        <v>0</v>
      </c>
      <c r="N15" s="88" t="str">
        <f>IF(C15&gt;0,LOOKUP(B15,'EF''s'!$A$2:$A$40,'EF''s'!$E$2:$E$40)," ")</f>
        <v xml:space="preserve"> </v>
      </c>
      <c r="O15" s="40">
        <f t="shared" si="5"/>
        <v>0</v>
      </c>
      <c r="P15" s="88" t="str">
        <f>IF(C15&gt;0,LOOKUP(B15,'EF''s'!$A$2:$A$40,'EF''s'!$H$2:$H$41)," ")</f>
        <v xml:space="preserve"> </v>
      </c>
      <c r="Q15" s="40">
        <f t="shared" si="6"/>
        <v>0</v>
      </c>
    </row>
    <row r="16" spans="1:114" s="20" customFormat="1" x14ac:dyDescent="0.2">
      <c r="A16" s="4" t="s">
        <v>52</v>
      </c>
      <c r="B16" s="80"/>
      <c r="C16" s="80"/>
      <c r="D16" s="81" t="str">
        <f>IF(C16&gt;0,(LOOKUP(B16,'EF''s'!$A$2:$A$40,'EF''s'!$B$2:$B$40)),(" "))</f>
        <v xml:space="preserve"> </v>
      </c>
      <c r="E16" s="82">
        <f t="shared" si="0"/>
        <v>0</v>
      </c>
      <c r="F16" s="81" t="str">
        <f>IF(C16&gt;0,LOOKUP(B16,'EF''s'!$A$2:$A$40,'EF''s'!$F$2:$F$40)," ")</f>
        <v xml:space="preserve"> </v>
      </c>
      <c r="G16" s="82">
        <f t="shared" si="1"/>
        <v>0</v>
      </c>
      <c r="H16" s="81" t="str">
        <f>IF(C16&gt;0,LOOKUP(B16,'EF''s'!$A$2:$A$40,'EF''s'!$G$2:$G$40)," ")</f>
        <v xml:space="preserve"> </v>
      </c>
      <c r="I16" s="82">
        <f t="shared" si="2"/>
        <v>0</v>
      </c>
      <c r="J16" s="81" t="str">
        <f>IF(C16&gt;0,LOOKUP(B16,'EF''s'!$A$2:$A$40,'EF''s'!$C$2:$C$40)," ")</f>
        <v xml:space="preserve"> </v>
      </c>
      <c r="K16" s="82">
        <f t="shared" si="3"/>
        <v>0</v>
      </c>
      <c r="L16" s="83" t="str">
        <f>IF(C16&gt;0,LOOKUP(B16,'EF''s'!$A$2:$A$40,'EF''s'!D2:D41)," ")</f>
        <v xml:space="preserve"> </v>
      </c>
      <c r="M16" s="82">
        <f t="shared" si="4"/>
        <v>0</v>
      </c>
      <c r="N16" s="83" t="str">
        <f>IF(C16&gt;0,LOOKUP(B16,'EF''s'!$A$2:$A$40,'EF''s'!$E$2:$E$40)," ")</f>
        <v xml:space="preserve"> </v>
      </c>
      <c r="O16" s="82">
        <f t="shared" si="5"/>
        <v>0</v>
      </c>
      <c r="P16" s="89" t="str">
        <f>IF(C16&gt;0,LOOKUP(B16,'EF''s'!$A$2:$A$40,'EF''s'!$H$2:$H$41)," ")</f>
        <v xml:space="preserve"> </v>
      </c>
      <c r="Q16" s="82">
        <f t="shared" si="6"/>
        <v>0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</row>
    <row r="17" spans="1:114" x14ac:dyDescent="0.2">
      <c r="A17" s="4" t="s">
        <v>53</v>
      </c>
      <c r="B17" s="75"/>
      <c r="C17" s="76"/>
      <c r="D17" s="77" t="str">
        <f>IF(C17&gt;0,(LOOKUP(B17,'EF''s'!$A$2:$A$40,'EF''s'!$B$2:$B$40)),(" "))</f>
        <v xml:space="preserve"> </v>
      </c>
      <c r="E17" s="78">
        <f t="shared" si="0"/>
        <v>0</v>
      </c>
      <c r="F17" s="77" t="str">
        <f>IF(C17&gt;0,LOOKUP(B17,'EF''s'!$A$2:$A$40,'EF''s'!$F$2:$F$40)," ")</f>
        <v xml:space="preserve"> </v>
      </c>
      <c r="G17" s="40">
        <f t="shared" si="1"/>
        <v>0</v>
      </c>
      <c r="H17" s="77" t="str">
        <f>IF(C17&gt;0,LOOKUP(B17,'EF''s'!$A$2:$A$40,'EF''s'!$G$2:$G$40)," ")</f>
        <v xml:space="preserve"> </v>
      </c>
      <c r="I17" s="78">
        <f t="shared" si="2"/>
        <v>0</v>
      </c>
      <c r="J17" s="77" t="str">
        <f>IF(C17&gt;0,LOOKUP(B17,'EF''s'!$A$2:$A$40,'EF''s'!$C$2:$C$40)," ")</f>
        <v xml:space="preserve"> </v>
      </c>
      <c r="K17" s="40">
        <f t="shared" si="3"/>
        <v>0</v>
      </c>
      <c r="L17" s="79" t="str">
        <f>IF(C17&gt;0,LOOKUP(B17,'EF''s'!$A$2:$A$40,'EF''s'!D2:D41)," ")</f>
        <v xml:space="preserve"> </v>
      </c>
      <c r="M17" s="40">
        <f t="shared" si="4"/>
        <v>0</v>
      </c>
      <c r="N17" s="79" t="str">
        <f>IF(C17&gt;0,LOOKUP(B17,'EF''s'!$A$2:$A$40,'EF''s'!$E$2:$E$40)," ")</f>
        <v xml:space="preserve"> </v>
      </c>
      <c r="O17" s="40">
        <f t="shared" si="5"/>
        <v>0</v>
      </c>
      <c r="P17" s="88" t="str">
        <f>IF(C17&gt;0,LOOKUP(B17,'EF''s'!$A$2:$A$40,'EF''s'!$H$2:$H$41)," ")</f>
        <v xml:space="preserve"> </v>
      </c>
      <c r="Q17" s="40">
        <f t="shared" si="6"/>
        <v>0</v>
      </c>
    </row>
    <row r="18" spans="1:114" s="20" customFormat="1" x14ac:dyDescent="0.2">
      <c r="A18" s="4" t="s">
        <v>54</v>
      </c>
      <c r="B18" s="80"/>
      <c r="C18" s="80"/>
      <c r="D18" s="81" t="str">
        <f>IF(C18&gt;0,(LOOKUP(B18,'EF''s'!$A$2:$A$40,'EF''s'!$B$2:$B$40)),(" "))</f>
        <v xml:space="preserve"> </v>
      </c>
      <c r="E18" s="82">
        <f t="shared" si="0"/>
        <v>0</v>
      </c>
      <c r="F18" s="81" t="str">
        <f>IF(C18&gt;0,LOOKUP(B18,'EF''s'!$A$2:$A$40,'EF''s'!$F$2:$F$40)," ")</f>
        <v xml:space="preserve"> </v>
      </c>
      <c r="G18" s="82">
        <f t="shared" si="1"/>
        <v>0</v>
      </c>
      <c r="H18" s="81" t="str">
        <f>IF(C18&gt;0,LOOKUP(B18,'EF''s'!$A$2:$A$40,'EF''s'!$G$2:$G$40)," ")</f>
        <v xml:space="preserve"> </v>
      </c>
      <c r="I18" s="82">
        <f t="shared" si="2"/>
        <v>0</v>
      </c>
      <c r="J18" s="81" t="str">
        <f>IF(C18&gt;0,LOOKUP(B18,'EF''s'!$A$2:$A$40,'EF''s'!$C$2:$C$40)," ")</f>
        <v xml:space="preserve"> </v>
      </c>
      <c r="K18" s="82">
        <f t="shared" si="3"/>
        <v>0</v>
      </c>
      <c r="L18" s="83" t="str">
        <f>IF(C18&gt;0,LOOKUP(B18,'EF''s'!$A$2:$A$40,'EF''s'!D2:D41)," ")</f>
        <v xml:space="preserve"> </v>
      </c>
      <c r="M18" s="82">
        <f t="shared" si="4"/>
        <v>0</v>
      </c>
      <c r="N18" s="83" t="str">
        <f>IF(C18&gt;0,LOOKUP(B18,'EF''s'!$A$2:$A$40,'EF''s'!$E$2:$E$40)," ")</f>
        <v xml:space="preserve"> </v>
      </c>
      <c r="O18" s="82">
        <f t="shared" si="5"/>
        <v>0</v>
      </c>
      <c r="P18" s="89" t="str">
        <f>IF(C18&gt;0,LOOKUP(B18,'EF''s'!$A$2:$A$40,'EF''s'!$H$2:$H$41)," ")</f>
        <v xml:space="preserve"> </v>
      </c>
      <c r="Q18" s="82">
        <f t="shared" si="6"/>
        <v>0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</row>
    <row r="19" spans="1:114" x14ac:dyDescent="0.2">
      <c r="A19" s="4" t="s">
        <v>104</v>
      </c>
      <c r="B19" s="75"/>
      <c r="C19" s="76"/>
      <c r="D19" s="77" t="str">
        <f>IF(C19&gt;0,(LOOKUP(B19,'EF''s'!$A$2:$A$40,'EF''s'!$B$2:$B$40)),(" "))</f>
        <v xml:space="preserve"> </v>
      </c>
      <c r="E19" s="78">
        <f t="shared" si="0"/>
        <v>0</v>
      </c>
      <c r="F19" s="77" t="str">
        <f>IF(C19&gt;0,LOOKUP(B19,'EF''s'!$A$2:$A$40,'EF''s'!$F$2:$F$40)," ")</f>
        <v xml:space="preserve"> </v>
      </c>
      <c r="G19" s="40">
        <f t="shared" si="1"/>
        <v>0</v>
      </c>
      <c r="H19" s="77" t="str">
        <f>IF(C19&gt;0,LOOKUP(B19,'EF''s'!$A$2:$A$40,'EF''s'!$G$2:$G$40)," ")</f>
        <v xml:space="preserve"> </v>
      </c>
      <c r="I19" s="78">
        <f t="shared" si="2"/>
        <v>0</v>
      </c>
      <c r="J19" s="77" t="str">
        <f>IF(C19&gt;0,LOOKUP(B19,'EF''s'!$A$2:$A$40,'EF''s'!$C$2:$C$40)," ")</f>
        <v xml:space="preserve"> </v>
      </c>
      <c r="K19" s="40">
        <f t="shared" si="3"/>
        <v>0</v>
      </c>
      <c r="L19" s="79" t="str">
        <f>IF(C19&gt;0,LOOKUP(B19,'EF''s'!$A$2:$A$40,'EF''s'!D2:D41)," ")</f>
        <v xml:space="preserve"> </v>
      </c>
      <c r="M19" s="40">
        <f t="shared" si="4"/>
        <v>0</v>
      </c>
      <c r="N19" s="79" t="str">
        <f>IF(C19&gt;0,LOOKUP(B19,'EF''s'!$A$2:$A$40,'EF''s'!$E$2:$E$40)," ")</f>
        <v xml:space="preserve"> </v>
      </c>
      <c r="O19" s="40">
        <f t="shared" si="5"/>
        <v>0</v>
      </c>
      <c r="P19" s="88" t="str">
        <f>IF(C19&gt;0,LOOKUP(B19,'EF''s'!$A$2:$A$40,'EF''s'!$H$2:$H$41)," ")</f>
        <v xml:space="preserve"> </v>
      </c>
      <c r="Q19" s="40">
        <f t="shared" si="6"/>
        <v>0</v>
      </c>
    </row>
    <row r="20" spans="1:114" s="20" customFormat="1" x14ac:dyDescent="0.2">
      <c r="A20" s="4" t="s">
        <v>48</v>
      </c>
      <c r="B20" s="80"/>
      <c r="C20" s="80"/>
      <c r="D20" s="81" t="str">
        <f>IF(C20&gt;0,(LOOKUP(B20,'EF''s'!$A$2:$A$40,'EF''s'!$B$2:$B$40)),(" "))</f>
        <v xml:space="preserve"> </v>
      </c>
      <c r="E20" s="82">
        <f t="shared" si="0"/>
        <v>0</v>
      </c>
      <c r="F20" s="81" t="str">
        <f>IF(C20&gt;0,LOOKUP(B20,'EF''s'!$A$2:$A$40,'EF''s'!$F$2:$F$40)," ")</f>
        <v xml:space="preserve"> </v>
      </c>
      <c r="G20" s="82">
        <f t="shared" si="1"/>
        <v>0</v>
      </c>
      <c r="H20" s="81" t="str">
        <f>IF(C20&gt;0,LOOKUP(B20,'EF''s'!$A$2:$A$40,'EF''s'!$G$2:$G$40)," ")</f>
        <v xml:space="preserve"> </v>
      </c>
      <c r="I20" s="82">
        <f t="shared" si="2"/>
        <v>0</v>
      </c>
      <c r="J20" s="81" t="str">
        <f>IF(C20&gt;0,LOOKUP(B20,'EF''s'!$A$2:$A$40,'EF''s'!$C$2:$C$40)," ")</f>
        <v xml:space="preserve"> </v>
      </c>
      <c r="K20" s="82">
        <f t="shared" si="3"/>
        <v>0</v>
      </c>
      <c r="L20" s="83" t="str">
        <f>IF(C20&gt;0,LOOKUP(B20,'EF''s'!$A$2:$A$40,'EF''s'!D2:D41)," ")</f>
        <v xml:space="preserve"> </v>
      </c>
      <c r="M20" s="82">
        <f t="shared" si="4"/>
        <v>0</v>
      </c>
      <c r="N20" s="83" t="str">
        <f>IF(C20&gt;0,LOOKUP(B20,'EF''s'!$A$2:$A$40,'EF''s'!$E$2:$E$40)," ")</f>
        <v xml:space="preserve"> </v>
      </c>
      <c r="O20" s="82">
        <f t="shared" si="5"/>
        <v>0</v>
      </c>
      <c r="P20" s="89" t="str">
        <f>IF(C20&gt;0,LOOKUP(B20,'EF''s'!$A$2:$A$40,'EF''s'!$H$2:$H$41)," ")</f>
        <v xml:space="preserve"> </v>
      </c>
      <c r="Q20" s="82">
        <f t="shared" si="6"/>
        <v>0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</row>
    <row r="21" spans="1:114" x14ac:dyDescent="0.2">
      <c r="A21" s="4" t="s">
        <v>41</v>
      </c>
      <c r="B21" s="75"/>
      <c r="C21" s="76"/>
      <c r="D21" s="77" t="str">
        <f>IF(C21&gt;0,(LOOKUP(B21,'EF''s'!$A$2:$A$40,'EF''s'!$B$2:$B$40)),(" "))</f>
        <v xml:space="preserve"> </v>
      </c>
      <c r="E21" s="78">
        <f t="shared" si="0"/>
        <v>0</v>
      </c>
      <c r="F21" s="77" t="str">
        <f>IF(C21&gt;0,LOOKUP(B21,'EF''s'!$A$2:$A$40,'EF''s'!$F$2:$F$40)," ")</f>
        <v xml:space="preserve"> </v>
      </c>
      <c r="G21" s="40">
        <f t="shared" si="1"/>
        <v>0</v>
      </c>
      <c r="H21" s="77" t="str">
        <f>IF(C21&gt;0,LOOKUP(B21,'EF''s'!$A$2:$A$40,'EF''s'!$G$2:$G$40)," ")</f>
        <v xml:space="preserve"> </v>
      </c>
      <c r="I21" s="78">
        <f t="shared" si="2"/>
        <v>0</v>
      </c>
      <c r="J21" s="77" t="str">
        <f>IF(C21&gt;0,LOOKUP(B21,'EF''s'!$A$2:$A$40,'EF''s'!$C$2:$C$40)," ")</f>
        <v xml:space="preserve"> </v>
      </c>
      <c r="K21" s="40">
        <f t="shared" si="3"/>
        <v>0</v>
      </c>
      <c r="L21" s="79" t="str">
        <f>IF(C21&gt;0,LOOKUP(B21,'EF''s'!$A$2:$A$40,'EF''s'!D2:D41)," ")</f>
        <v xml:space="preserve"> </v>
      </c>
      <c r="M21" s="40">
        <f t="shared" si="4"/>
        <v>0</v>
      </c>
      <c r="N21" s="79" t="str">
        <f>IF(C21&gt;0,LOOKUP(B21,'EF''s'!$A$2:$A$40,'EF''s'!$E$2:$E$40)," ")</f>
        <v xml:space="preserve"> </v>
      </c>
      <c r="O21" s="40">
        <f t="shared" si="5"/>
        <v>0</v>
      </c>
      <c r="P21" s="88" t="str">
        <f>IF(C21&gt;0,LOOKUP(B21,'EF''s'!$A$2:$A$40,'EF''s'!$H$2:$H$41)," ")</f>
        <v xml:space="preserve"> </v>
      </c>
      <c r="Q21" s="40">
        <f t="shared" si="6"/>
        <v>0</v>
      </c>
    </row>
    <row r="22" spans="1:114" s="20" customFormat="1" x14ac:dyDescent="0.2">
      <c r="A22" s="4" t="s">
        <v>42</v>
      </c>
      <c r="B22" s="80"/>
      <c r="C22" s="80"/>
      <c r="D22" s="81" t="str">
        <f>IF(C22&gt;0,(LOOKUP(B22,'EF''s'!$A$2:$A$40,'EF''s'!$B$2:$B$40)),(" "))</f>
        <v xml:space="preserve"> </v>
      </c>
      <c r="E22" s="82">
        <f t="shared" si="0"/>
        <v>0</v>
      </c>
      <c r="F22" s="81" t="str">
        <f>IF(C22&gt;0,LOOKUP(B22,'EF''s'!$A$2:$A$40,'EF''s'!$F$2:$F$40)," ")</f>
        <v xml:space="preserve"> </v>
      </c>
      <c r="G22" s="82">
        <f t="shared" si="1"/>
        <v>0</v>
      </c>
      <c r="H22" s="81" t="str">
        <f>IF(C22&gt;0,LOOKUP(B22,'EF''s'!$A$2:$A$40,'EF''s'!$G$2:$G$40)," ")</f>
        <v xml:space="preserve"> </v>
      </c>
      <c r="I22" s="82">
        <f t="shared" si="2"/>
        <v>0</v>
      </c>
      <c r="J22" s="81" t="str">
        <f>IF(C22&gt;0,LOOKUP(B22,'EF''s'!$A$2:$A$40,'EF''s'!$C$2:$C$40)," ")</f>
        <v xml:space="preserve"> </v>
      </c>
      <c r="K22" s="82">
        <f t="shared" si="3"/>
        <v>0</v>
      </c>
      <c r="L22" s="83" t="str">
        <f>IF(C22&gt;0,LOOKUP(B22,'EF''s'!$A$2:$A$40,'EF''s'!D2:D41)," ")</f>
        <v xml:space="preserve"> </v>
      </c>
      <c r="M22" s="82">
        <f t="shared" si="4"/>
        <v>0</v>
      </c>
      <c r="N22" s="83" t="str">
        <f>IF(C22&gt;0,LOOKUP(B22,'EF''s'!$A$2:$A$40,'EF''s'!$E$2:$E$40)," ")</f>
        <v xml:space="preserve"> </v>
      </c>
      <c r="O22" s="82">
        <f t="shared" si="5"/>
        <v>0</v>
      </c>
      <c r="P22" s="89" t="str">
        <f>IF(C22&gt;0,LOOKUP(B22,'EF''s'!$A$2:$A$40,'EF''s'!$H$2:$H$41)," ")</f>
        <v xml:space="preserve"> </v>
      </c>
      <c r="Q22" s="82">
        <f t="shared" si="6"/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</row>
    <row r="23" spans="1:114" x14ac:dyDescent="0.2">
      <c r="A23" s="4" t="s">
        <v>43</v>
      </c>
      <c r="B23" s="75"/>
      <c r="C23" s="76"/>
      <c r="D23" s="77" t="str">
        <f>IF(C23&gt;0,(LOOKUP(B23,'EF''s'!$A$2:$A$40,'EF''s'!$B$2:$B$40)),(" "))</f>
        <v xml:space="preserve"> </v>
      </c>
      <c r="E23" s="78">
        <f t="shared" si="0"/>
        <v>0</v>
      </c>
      <c r="F23" s="77" t="str">
        <f>IF(C23&gt;0,LOOKUP(B23,'EF''s'!$A$2:$A$40,'EF''s'!$F$2:$F$40)," ")</f>
        <v xml:space="preserve"> </v>
      </c>
      <c r="G23" s="40">
        <f t="shared" si="1"/>
        <v>0</v>
      </c>
      <c r="H23" s="77" t="str">
        <f>IF(C23&gt;0,LOOKUP(B23,'EF''s'!$A$2:$A$40,'EF''s'!$G$2:$G$40)," ")</f>
        <v xml:space="preserve"> </v>
      </c>
      <c r="I23" s="78">
        <f t="shared" si="2"/>
        <v>0</v>
      </c>
      <c r="J23" s="77" t="str">
        <f>IF(C23&gt;0,LOOKUP(B23,'EF''s'!$A$2:$A$40,'EF''s'!$C$2:$C$40)," ")</f>
        <v xml:space="preserve"> </v>
      </c>
      <c r="K23" s="40">
        <f t="shared" si="3"/>
        <v>0</v>
      </c>
      <c r="L23" s="79" t="str">
        <f>IF(C23&gt;0,LOOKUP(B23,'EF''s'!$A$2:$A$40,'EF''s'!D2:D41)," ")</f>
        <v xml:space="preserve"> </v>
      </c>
      <c r="M23" s="40">
        <f t="shared" si="4"/>
        <v>0</v>
      </c>
      <c r="N23" s="79" t="str">
        <f>IF(C23&gt;0,LOOKUP(B23,'EF''s'!$A$2:$A$40,'EF''s'!$E$2:$E$40)," ")</f>
        <v xml:space="preserve"> </v>
      </c>
      <c r="O23" s="40">
        <f t="shared" si="5"/>
        <v>0</v>
      </c>
      <c r="P23" s="88" t="str">
        <f>IF(C23&gt;0,LOOKUP(B23,'EF''s'!$A$2:$A$40,'EF''s'!$H$2:$H$41)," ")</f>
        <v xml:space="preserve"> </v>
      </c>
      <c r="Q23" s="40">
        <f t="shared" si="6"/>
        <v>0</v>
      </c>
    </row>
    <row r="24" spans="1:114" s="20" customFormat="1" x14ac:dyDescent="0.2">
      <c r="A24" s="4" t="s">
        <v>45</v>
      </c>
      <c r="B24" s="80"/>
      <c r="C24" s="80"/>
      <c r="D24" s="81" t="str">
        <f>IF(C24&gt;0,(LOOKUP(B24,'EF''s'!$A$2:$A$40,'EF''s'!$B$2:$B$40)),(" "))</f>
        <v xml:space="preserve"> </v>
      </c>
      <c r="E24" s="82">
        <f t="shared" si="0"/>
        <v>0</v>
      </c>
      <c r="F24" s="81" t="str">
        <f>IF(C24&gt;0,LOOKUP(B24,'EF''s'!$A$2:$A$40,'EF''s'!$F$2:$F$40)," ")</f>
        <v xml:space="preserve"> </v>
      </c>
      <c r="G24" s="82">
        <f t="shared" si="1"/>
        <v>0</v>
      </c>
      <c r="H24" s="81" t="str">
        <f>IF(C24&gt;0,LOOKUP(B24,'EF''s'!$A$2:$A$40,'EF''s'!$G$2:$G$40)," ")</f>
        <v xml:space="preserve"> </v>
      </c>
      <c r="I24" s="82">
        <f t="shared" si="2"/>
        <v>0</v>
      </c>
      <c r="J24" s="81" t="str">
        <f>IF(C24&gt;0,LOOKUP(B24,'EF''s'!$A$2:$A$40,'EF''s'!$C$2:$C$40)," ")</f>
        <v xml:space="preserve"> </v>
      </c>
      <c r="K24" s="82">
        <f t="shared" si="3"/>
        <v>0</v>
      </c>
      <c r="L24" s="83" t="str">
        <f>IF(C24&gt;0,LOOKUP(B24,'EF''s'!$A$2:$A$40,'EF''s'!D2:D41)," ")</f>
        <v xml:space="preserve"> </v>
      </c>
      <c r="M24" s="82">
        <f t="shared" si="4"/>
        <v>0</v>
      </c>
      <c r="N24" s="83" t="str">
        <f>IF(C24&gt;0,LOOKUP(B24,'EF''s'!$A$2:$A$40,'EF''s'!$E$2:$E$40)," ")</f>
        <v xml:space="preserve"> </v>
      </c>
      <c r="O24" s="82">
        <f t="shared" si="5"/>
        <v>0</v>
      </c>
      <c r="P24" s="89" t="str">
        <f>IF(C24&gt;0,LOOKUP(B24,'EF''s'!$A$2:$A$40,'EF''s'!$H$2:$H$41)," ")</f>
        <v xml:space="preserve"> </v>
      </c>
      <c r="Q24" s="82">
        <f t="shared" si="6"/>
        <v>0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</row>
    <row r="25" spans="1:114" x14ac:dyDescent="0.2">
      <c r="A25" s="4" t="s">
        <v>44</v>
      </c>
      <c r="B25" s="75"/>
      <c r="C25" s="76"/>
      <c r="D25" s="77" t="str">
        <f>IF(C25&gt;0,(LOOKUP(B25,'EF''s'!$A$2:$A$40,'EF''s'!$B$2:$B$40)),(" "))</f>
        <v xml:space="preserve"> </v>
      </c>
      <c r="E25" s="78">
        <f t="shared" si="0"/>
        <v>0</v>
      </c>
      <c r="F25" s="77" t="str">
        <f>IF(C25&gt;0,LOOKUP(B25,'EF''s'!$A$2:$A$40,'EF''s'!$F$2:$F$40)," ")</f>
        <v xml:space="preserve"> </v>
      </c>
      <c r="G25" s="40">
        <f t="shared" si="1"/>
        <v>0</v>
      </c>
      <c r="H25" s="77" t="str">
        <f>IF(C25&gt;0,LOOKUP(B25,'EF''s'!$A$2:$A$40,'EF''s'!$G$2:$G$40)," ")</f>
        <v xml:space="preserve"> </v>
      </c>
      <c r="I25" s="78">
        <f t="shared" si="2"/>
        <v>0</v>
      </c>
      <c r="J25" s="77" t="str">
        <f>IF(C25&gt;0,LOOKUP(B25,'EF''s'!$A$2:$A$40,'EF''s'!$C$2:$C$40)," ")</f>
        <v xml:space="preserve"> </v>
      </c>
      <c r="K25" s="40">
        <f t="shared" si="3"/>
        <v>0</v>
      </c>
      <c r="L25" s="79" t="str">
        <f>IF(C25&gt;0,LOOKUP(B25,'EF''s'!$A$2:$A$40,'EF''s'!D2:D41)," ")</f>
        <v xml:space="preserve"> </v>
      </c>
      <c r="M25" s="40">
        <f t="shared" si="4"/>
        <v>0</v>
      </c>
      <c r="N25" s="79" t="str">
        <f>IF(C25&gt;0,LOOKUP(B25,'EF''s'!$A$2:$A$40,'EF''s'!$E$2:$E$40)," ")</f>
        <v xml:space="preserve"> </v>
      </c>
      <c r="O25" s="40">
        <f t="shared" si="5"/>
        <v>0</v>
      </c>
      <c r="P25" s="88" t="str">
        <f>IF(C25&gt;0,LOOKUP(B25,'EF''s'!$A$2:$A$40,'EF''s'!$H$2:$H$41)," ")</f>
        <v xml:space="preserve"> </v>
      </c>
      <c r="Q25" s="40">
        <f t="shared" si="6"/>
        <v>0</v>
      </c>
    </row>
    <row r="26" spans="1:114" s="20" customFormat="1" x14ac:dyDescent="0.2">
      <c r="A26" s="4" t="s">
        <v>46</v>
      </c>
      <c r="B26" s="80"/>
      <c r="C26" s="80"/>
      <c r="D26" s="81" t="str">
        <f>IF(C26&gt;0,(LOOKUP(B26,'EF''s'!$A$2:$A$40,'EF''s'!$B$2:$B$40)),(" "))</f>
        <v xml:space="preserve"> </v>
      </c>
      <c r="E26" s="82">
        <f t="shared" si="0"/>
        <v>0</v>
      </c>
      <c r="F26" s="81" t="str">
        <f>IF(C26&gt;0,LOOKUP(B26,'EF''s'!$A$2:$A$40,'EF''s'!$F$2:$F$40)," ")</f>
        <v xml:space="preserve"> </v>
      </c>
      <c r="G26" s="82">
        <f t="shared" si="1"/>
        <v>0</v>
      </c>
      <c r="H26" s="81" t="str">
        <f>IF(C26&gt;0,LOOKUP(B26,'EF''s'!$A$2:$A$40,'EF''s'!$G$2:$G$40)," ")</f>
        <v xml:space="preserve"> </v>
      </c>
      <c r="I26" s="82">
        <f t="shared" si="2"/>
        <v>0</v>
      </c>
      <c r="J26" s="81" t="str">
        <f>IF(C26&gt;0,LOOKUP(B26,'EF''s'!$A$2:$A$40,'EF''s'!$C$2:$C$40)," ")</f>
        <v xml:space="preserve"> </v>
      </c>
      <c r="K26" s="82">
        <f t="shared" si="3"/>
        <v>0</v>
      </c>
      <c r="L26" s="83" t="str">
        <f>IF(C26&gt;0,LOOKUP(B26,'EF''s'!$A$2:$A$40,'EF''s'!D2:D41)," ")</f>
        <v xml:space="preserve"> </v>
      </c>
      <c r="M26" s="82">
        <f t="shared" si="4"/>
        <v>0</v>
      </c>
      <c r="N26" s="83" t="str">
        <f>IF(C26&gt;0,LOOKUP(B26,'EF''s'!$A$2:$A$40,'EF''s'!$E$2:$E$40)," ")</f>
        <v xml:space="preserve"> </v>
      </c>
      <c r="O26" s="82">
        <f t="shared" si="5"/>
        <v>0</v>
      </c>
      <c r="P26" s="89" t="str">
        <f>IF(C26&gt;0,LOOKUP(B26,'EF''s'!$A$2:$A$40,'EF''s'!$H$2:$H$41)," ")</f>
        <v xml:space="preserve"> </v>
      </c>
      <c r="Q26" s="82">
        <f t="shared" si="6"/>
        <v>0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</row>
    <row r="27" spans="1:114" x14ac:dyDescent="0.2">
      <c r="A27" s="4" t="s">
        <v>47</v>
      </c>
      <c r="B27" s="75"/>
      <c r="C27" s="76"/>
      <c r="D27" s="77" t="str">
        <f>IF(C27&gt;0,(LOOKUP(B27,'EF''s'!$A$2:$A$40,'EF''s'!$B$2:$B$40)),(" "))</f>
        <v xml:space="preserve"> </v>
      </c>
      <c r="E27" s="78">
        <f t="shared" si="0"/>
        <v>0</v>
      </c>
      <c r="F27" s="77" t="str">
        <f>IF(C27&gt;0,LOOKUP(B27,'EF''s'!$A$2:$A$40,'EF''s'!$F$2:$F$40)," ")</f>
        <v xml:space="preserve"> </v>
      </c>
      <c r="G27" s="40">
        <f t="shared" si="1"/>
        <v>0</v>
      </c>
      <c r="H27" s="77" t="str">
        <f>IF(C27&gt;0,LOOKUP(B27,'EF''s'!$A$2:$A$40,'EF''s'!$G$2:$G$40)," ")</f>
        <v xml:space="preserve"> </v>
      </c>
      <c r="I27" s="78">
        <f t="shared" si="2"/>
        <v>0</v>
      </c>
      <c r="J27" s="77" t="str">
        <f>IF(C27&gt;0,LOOKUP(B27,'EF''s'!$A$2:$A$40,'EF''s'!$C$2:$C$40)," ")</f>
        <v xml:space="preserve"> </v>
      </c>
      <c r="K27" s="40">
        <f t="shared" si="3"/>
        <v>0</v>
      </c>
      <c r="L27" s="79" t="str">
        <f>IF(C27&gt;0,LOOKUP(B27,'EF''s'!$A$2:$A$40,'EF''s'!D2:D41)," ")</f>
        <v xml:space="preserve"> </v>
      </c>
      <c r="M27" s="40">
        <f t="shared" si="4"/>
        <v>0</v>
      </c>
      <c r="N27" s="79" t="str">
        <f>IF(C27&gt;0,LOOKUP(B27,'EF''s'!$A$2:$A$40,'EF''s'!$E$2:$E$40)," ")</f>
        <v xml:space="preserve"> </v>
      </c>
      <c r="O27" s="40">
        <f t="shared" si="5"/>
        <v>0</v>
      </c>
      <c r="P27" s="88" t="str">
        <f>IF(C27&gt;0,LOOKUP(B27,'EF''s'!$A$2:$A$40,'EF''s'!$H$2:$H$41)," ")</f>
        <v xml:space="preserve"> </v>
      </c>
      <c r="Q27" s="40">
        <f t="shared" si="6"/>
        <v>0</v>
      </c>
    </row>
    <row r="28" spans="1:114" s="20" customFormat="1" x14ac:dyDescent="0.2">
      <c r="A28" s="4" t="s">
        <v>105</v>
      </c>
      <c r="B28" s="80"/>
      <c r="C28" s="80"/>
      <c r="D28" s="81" t="str">
        <f>IF(C28&gt;0,(LOOKUP(B28,'EF''s'!$A$2:$A$40,'EF''s'!$B$2:$B$40)),(" "))</f>
        <v xml:space="preserve"> </v>
      </c>
      <c r="E28" s="82">
        <f t="shared" si="0"/>
        <v>0</v>
      </c>
      <c r="F28" s="81" t="str">
        <f>IF(C28&gt;0,LOOKUP(B28,'EF''s'!$A$2:$A$40,'EF''s'!$F$2:$F$40)," ")</f>
        <v xml:space="preserve"> </v>
      </c>
      <c r="G28" s="82">
        <f t="shared" si="1"/>
        <v>0</v>
      </c>
      <c r="H28" s="81" t="str">
        <f>IF(C28&gt;0,LOOKUP(B28,'EF''s'!$A$2:$A$40,'EF''s'!$G$2:$G$40)," ")</f>
        <v xml:space="preserve"> </v>
      </c>
      <c r="I28" s="82">
        <f t="shared" si="2"/>
        <v>0</v>
      </c>
      <c r="J28" s="81" t="str">
        <f>IF(C28&gt;0,LOOKUP(B28,'EF''s'!$A$2:$A$40,'EF''s'!$C$2:$C$40)," ")</f>
        <v xml:space="preserve"> </v>
      </c>
      <c r="K28" s="82">
        <f t="shared" si="3"/>
        <v>0</v>
      </c>
      <c r="L28" s="83" t="str">
        <f>IF(C28&gt;0,LOOKUP(B28,'EF''s'!$A$2:$A$40,'EF''s'!D2:D41)," ")</f>
        <v xml:space="preserve"> </v>
      </c>
      <c r="M28" s="82">
        <f t="shared" si="4"/>
        <v>0</v>
      </c>
      <c r="N28" s="83" t="str">
        <f>IF(C28&gt;0,LOOKUP(B28,'EF''s'!$A$2:$A$40,'EF''s'!$E$2:$E$40)," ")</f>
        <v xml:space="preserve"> </v>
      </c>
      <c r="O28" s="82">
        <f t="shared" si="5"/>
        <v>0</v>
      </c>
      <c r="P28" s="89" t="str">
        <f>IF(C28&gt;0,LOOKUP(B28,'EF''s'!$A$2:$A$40,'EF''s'!$H$2:$H$41)," ")</f>
        <v xml:space="preserve"> </v>
      </c>
      <c r="Q28" s="82">
        <f t="shared" si="6"/>
        <v>0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</row>
    <row r="29" spans="1:114" x14ac:dyDescent="0.2">
      <c r="A29" s="4" t="s">
        <v>56</v>
      </c>
      <c r="B29" s="75"/>
      <c r="C29" s="76"/>
      <c r="D29" s="77" t="str">
        <f>IF(C29&gt;0,(LOOKUP(B29,'EF''s'!$A$2:$A$40,'EF''s'!$B$2:$B$40)),(" "))</f>
        <v xml:space="preserve"> </v>
      </c>
      <c r="E29" s="78">
        <f t="shared" si="0"/>
        <v>0</v>
      </c>
      <c r="F29" s="77" t="str">
        <f>IF(C29&gt;0,LOOKUP(B29,'EF''s'!$A$2:$A$40,'EF''s'!$F$2:$F$40)," ")</f>
        <v xml:space="preserve"> </v>
      </c>
      <c r="G29" s="40">
        <f t="shared" si="1"/>
        <v>0</v>
      </c>
      <c r="H29" s="77" t="str">
        <f>IF(C29&gt;0,LOOKUP(B29,'EF''s'!$A$2:$A$40,'EF''s'!$G$2:$G$40)," ")</f>
        <v xml:space="preserve"> </v>
      </c>
      <c r="I29" s="78">
        <f t="shared" si="2"/>
        <v>0</v>
      </c>
      <c r="J29" s="77" t="str">
        <f>IF(C29&gt;0,LOOKUP(B29,'EF''s'!$A$2:$A$40,'EF''s'!$C$2:$C$40)," ")</f>
        <v xml:space="preserve"> </v>
      </c>
      <c r="K29" s="40">
        <f t="shared" si="3"/>
        <v>0</v>
      </c>
      <c r="L29" s="79" t="str">
        <f>IF(C29&gt;0,LOOKUP(B29,'EF''s'!$A$2:$A$40,'EF''s'!D2:D41)," ")</f>
        <v xml:space="preserve"> </v>
      </c>
      <c r="M29" s="40">
        <f t="shared" si="4"/>
        <v>0</v>
      </c>
      <c r="N29" s="79" t="str">
        <f>IF(C29&gt;0,LOOKUP(B29,'EF''s'!$A$2:$A$40,'EF''s'!$E$2:$E$40)," ")</f>
        <v xml:space="preserve"> </v>
      </c>
      <c r="O29" s="40">
        <f t="shared" si="5"/>
        <v>0</v>
      </c>
      <c r="P29" s="88" t="str">
        <f>IF(C29&gt;0,LOOKUP(B29,'EF''s'!$A$2:$A$40,'EF''s'!$H$2:$H$41)," ")</f>
        <v xml:space="preserve"> </v>
      </c>
      <c r="Q29" s="40">
        <f t="shared" si="6"/>
        <v>0</v>
      </c>
    </row>
    <row r="30" spans="1:114" s="20" customFormat="1" x14ac:dyDescent="0.2">
      <c r="A30" s="2" t="s">
        <v>39</v>
      </c>
      <c r="B30" s="80"/>
      <c r="C30" s="80"/>
      <c r="D30" s="81" t="str">
        <f>IF(C30&gt;0,(LOOKUP(B30,'EF''s'!$A$2:$A$40,'EF''s'!$B$2:$B$40)),(" "))</f>
        <v xml:space="preserve"> </v>
      </c>
      <c r="E30" s="82">
        <f t="shared" si="0"/>
        <v>0</v>
      </c>
      <c r="F30" s="81" t="str">
        <f>IF(C30&gt;0,LOOKUP(B30,'EF''s'!$A$2:$A$40,'EF''s'!$F$2:$F$40)," ")</f>
        <v xml:space="preserve"> </v>
      </c>
      <c r="G30" s="82">
        <f t="shared" si="1"/>
        <v>0</v>
      </c>
      <c r="H30" s="81" t="str">
        <f>IF(C30&gt;0,LOOKUP(B30,'EF''s'!$A$2:$A$40,'EF''s'!$G$2:$G$40)," ")</f>
        <v xml:space="preserve"> </v>
      </c>
      <c r="I30" s="82">
        <f t="shared" si="2"/>
        <v>0</v>
      </c>
      <c r="J30" s="81" t="str">
        <f>IF(C30&gt;0,LOOKUP(B30,'EF''s'!$A$2:$A$40,'EF''s'!$C$2:$C$40)," ")</f>
        <v xml:space="preserve"> </v>
      </c>
      <c r="K30" s="82">
        <f t="shared" si="3"/>
        <v>0</v>
      </c>
      <c r="L30" s="83" t="str">
        <f>IF(C30&gt;0,LOOKUP(B30,'EF''s'!$A$2:$A$40,'EF''s'!D2:D41)," ")</f>
        <v xml:space="preserve"> </v>
      </c>
      <c r="M30" s="82">
        <f t="shared" si="4"/>
        <v>0</v>
      </c>
      <c r="N30" s="83" t="str">
        <f>IF(C30&gt;0,LOOKUP(B30,'EF''s'!$A$2:$A$40,'EF''s'!$E$2:$E$40)," ")</f>
        <v xml:space="preserve"> </v>
      </c>
      <c r="O30" s="82">
        <f t="shared" si="5"/>
        <v>0</v>
      </c>
      <c r="P30" s="89" t="str">
        <f>IF(C30&gt;0,LOOKUP(B30,'EF''s'!$A$2:$A$40,'EF''s'!$H$2:$H$41)," ")</f>
        <v xml:space="preserve"> </v>
      </c>
      <c r="Q30" s="82">
        <f t="shared" si="6"/>
        <v>0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</row>
    <row r="31" spans="1:114" x14ac:dyDescent="0.2">
      <c r="A31" s="4" t="s">
        <v>40</v>
      </c>
      <c r="B31" s="32" t="s">
        <v>0</v>
      </c>
      <c r="C31" s="84">
        <f>SUM(C13:C30)</f>
        <v>0</v>
      </c>
      <c r="D31" s="33"/>
      <c r="E31" s="40">
        <f>SUM(E13:E30)</f>
        <v>0</v>
      </c>
      <c r="F31" s="34"/>
      <c r="G31" s="40">
        <f>SUM(G13:G30)</f>
        <v>0</v>
      </c>
      <c r="H31" s="34"/>
      <c r="I31" s="40">
        <f>SUM(I13:I30)</f>
        <v>0</v>
      </c>
      <c r="J31" s="34"/>
      <c r="K31" s="40">
        <f>SUM(K13:K30)</f>
        <v>0</v>
      </c>
      <c r="L31" s="40"/>
      <c r="M31" s="40">
        <f>SUM(M13:M30)</f>
        <v>0</v>
      </c>
      <c r="N31" s="72"/>
      <c r="O31" s="40">
        <f>SUM(O13:O30)</f>
        <v>0</v>
      </c>
      <c r="P31" s="90"/>
      <c r="Q31" s="40">
        <f>SUM(Q13:Q30)</f>
        <v>0</v>
      </c>
    </row>
    <row r="32" spans="1:114" x14ac:dyDescent="0.2">
      <c r="A32" s="3" t="s">
        <v>20</v>
      </c>
      <c r="C32" s="65"/>
      <c r="D32" s="29" t="s">
        <v>108</v>
      </c>
      <c r="E32" s="66"/>
      <c r="F32" s="67"/>
      <c r="G32" s="66"/>
      <c r="H32" s="67"/>
      <c r="I32" s="66"/>
      <c r="J32" s="67"/>
      <c r="K32" s="66"/>
      <c r="L32" s="66"/>
      <c r="M32" s="66"/>
      <c r="N32" s="67"/>
      <c r="O32" s="66"/>
    </row>
    <row r="33" spans="1:15" x14ac:dyDescent="0.2">
      <c r="A33" s="3" t="s">
        <v>21</v>
      </c>
      <c r="B33" s="39" t="s">
        <v>16</v>
      </c>
      <c r="C33" s="19"/>
      <c r="D33" s="19"/>
      <c r="E33" s="19"/>
      <c r="F33" s="39" t="s">
        <v>15</v>
      </c>
      <c r="G33" s="28"/>
      <c r="H33" s="23"/>
      <c r="K33" s="19"/>
      <c r="L33" s="19"/>
      <c r="M33" s="19"/>
      <c r="N33" s="22"/>
      <c r="O33" s="19"/>
    </row>
    <row r="34" spans="1:15" x14ac:dyDescent="0.2">
      <c r="A34" s="3" t="s">
        <v>22</v>
      </c>
      <c r="B34" s="35" t="s">
        <v>103</v>
      </c>
      <c r="C34" s="36" t="e">
        <f>(E31*2000)/($C$31/1000)*100/(100-$E$9)</f>
        <v>#DIV/0!</v>
      </c>
      <c r="D34" s="35" t="s">
        <v>9</v>
      </c>
      <c r="E34" s="21"/>
      <c r="F34" s="35" t="s">
        <v>103</v>
      </c>
      <c r="G34" s="37">
        <f>MAX(D13:D30)</f>
        <v>0</v>
      </c>
      <c r="H34" s="38" t="s">
        <v>9</v>
      </c>
      <c r="K34" s="24"/>
      <c r="L34" s="24"/>
      <c r="M34" s="24"/>
      <c r="N34" s="22"/>
      <c r="O34" s="19"/>
    </row>
    <row r="35" spans="1:15" x14ac:dyDescent="0.2">
      <c r="A35" s="3" t="s">
        <v>23</v>
      </c>
      <c r="B35" s="35" t="s">
        <v>10</v>
      </c>
      <c r="C35" s="36" t="e">
        <f xml:space="preserve"> (G31*2000)/($C$31/1000)</f>
        <v>#DIV/0!</v>
      </c>
      <c r="D35" s="35" t="s">
        <v>9</v>
      </c>
      <c r="E35" s="19"/>
      <c r="F35" s="35" t="s">
        <v>10</v>
      </c>
      <c r="G35" s="37">
        <f>MAX(F13:F31)</f>
        <v>0</v>
      </c>
      <c r="H35" s="38" t="s">
        <v>9</v>
      </c>
      <c r="K35" s="22"/>
      <c r="L35" s="22"/>
      <c r="M35" s="22"/>
      <c r="N35" s="22"/>
      <c r="O35" s="19"/>
    </row>
    <row r="36" spans="1:15" x14ac:dyDescent="0.2">
      <c r="A36" s="3" t="s">
        <v>24</v>
      </c>
      <c r="B36" s="35" t="s">
        <v>4</v>
      </c>
      <c r="C36" s="36" t="e">
        <f xml:space="preserve"> (I31*2000)/($C$31/1000)</f>
        <v>#DIV/0!</v>
      </c>
      <c r="D36" s="35" t="s">
        <v>9</v>
      </c>
      <c r="E36" s="19"/>
      <c r="F36" s="35" t="s">
        <v>4</v>
      </c>
      <c r="G36" s="37">
        <f>MAX(H13:H30)</f>
        <v>0</v>
      </c>
      <c r="H36" s="38" t="s">
        <v>9</v>
      </c>
      <c r="K36" s="22"/>
      <c r="L36" s="22"/>
      <c r="M36" s="22"/>
      <c r="N36" s="22"/>
      <c r="O36" s="19"/>
    </row>
    <row r="37" spans="1:15" x14ac:dyDescent="0.2">
      <c r="A37" s="3" t="s">
        <v>25</v>
      </c>
      <c r="B37" s="35" t="s">
        <v>11</v>
      </c>
      <c r="C37" s="36" t="e">
        <f xml:space="preserve"> (K31*2000)/($C$31/1000)</f>
        <v>#DIV/0!</v>
      </c>
      <c r="D37" s="35" t="s">
        <v>9</v>
      </c>
      <c r="E37" s="19"/>
      <c r="F37" s="35" t="s">
        <v>11</v>
      </c>
      <c r="G37" s="37">
        <f>MAX(J13:J30)</f>
        <v>0</v>
      </c>
      <c r="H37" s="38" t="s">
        <v>9</v>
      </c>
      <c r="K37" s="22"/>
      <c r="L37" s="22"/>
      <c r="M37" s="22"/>
      <c r="N37" s="19"/>
      <c r="O37" s="19"/>
    </row>
    <row r="38" spans="1:15" x14ac:dyDescent="0.2">
      <c r="A38" s="3" t="s">
        <v>26</v>
      </c>
      <c r="B38" s="35" t="s">
        <v>120</v>
      </c>
      <c r="C38" s="36" t="e">
        <f xml:space="preserve"> (M31*2000)/($C$31/1000)</f>
        <v>#DIV/0!</v>
      </c>
      <c r="D38" s="35" t="s">
        <v>9</v>
      </c>
      <c r="E38" s="19"/>
      <c r="F38" s="35" t="s">
        <v>120</v>
      </c>
      <c r="G38" s="37">
        <f>MAX(L13:L30)</f>
        <v>0</v>
      </c>
      <c r="H38" s="38" t="s">
        <v>9</v>
      </c>
      <c r="K38" s="22"/>
      <c r="L38" s="22"/>
      <c r="M38" s="22"/>
      <c r="N38" s="19"/>
      <c r="O38" s="19"/>
    </row>
    <row r="39" spans="1:15" x14ac:dyDescent="0.2">
      <c r="A39" s="3" t="s">
        <v>27</v>
      </c>
      <c r="B39" s="35" t="s">
        <v>14</v>
      </c>
      <c r="C39" s="36" t="e">
        <f xml:space="preserve"> (O31*2000)/($C$31/1000)</f>
        <v>#DIV/0!</v>
      </c>
      <c r="D39" s="35" t="s">
        <v>9</v>
      </c>
      <c r="E39" s="19"/>
      <c r="F39" s="35" t="s">
        <v>14</v>
      </c>
      <c r="G39" s="37">
        <f>MAX(N13:N30)</f>
        <v>0</v>
      </c>
      <c r="H39" s="38" t="s">
        <v>9</v>
      </c>
      <c r="K39" s="22"/>
      <c r="L39" s="22"/>
      <c r="M39" s="22"/>
      <c r="N39" s="19"/>
      <c r="O39" s="19"/>
    </row>
    <row r="40" spans="1:15" x14ac:dyDescent="0.2">
      <c r="A40" s="3" t="s">
        <v>28</v>
      </c>
      <c r="B40" s="35" t="s">
        <v>58</v>
      </c>
      <c r="C40" s="36" t="e">
        <f xml:space="preserve"> (Q31*2000)/($C$31/1000)</f>
        <v>#DIV/0!</v>
      </c>
      <c r="D40" s="35" t="s">
        <v>9</v>
      </c>
      <c r="E40" s="19"/>
      <c r="F40" s="35" t="s">
        <v>58</v>
      </c>
      <c r="G40" s="37">
        <f>MAX(P13:P30)</f>
        <v>0</v>
      </c>
      <c r="H40" s="38" t="s">
        <v>9</v>
      </c>
      <c r="K40" s="22"/>
      <c r="L40" s="22"/>
      <c r="M40" s="22"/>
      <c r="N40" s="19"/>
      <c r="O40" s="19"/>
    </row>
    <row r="41" spans="1:15" x14ac:dyDescent="0.2">
      <c r="A41" s="3" t="s">
        <v>29</v>
      </c>
      <c r="K41" s="22"/>
      <c r="L41" s="22"/>
      <c r="M41" s="22"/>
      <c r="N41" s="19"/>
      <c r="O41" s="19"/>
    </row>
    <row r="42" spans="1:15" x14ac:dyDescent="0.2">
      <c r="A42" s="3" t="s">
        <v>30</v>
      </c>
    </row>
    <row r="43" spans="1:15" x14ac:dyDescent="0.2">
      <c r="A43" s="3" t="s">
        <v>31</v>
      </c>
    </row>
    <row r="44" spans="1:15" x14ac:dyDescent="0.2">
      <c r="A44" s="3" t="s">
        <v>32</v>
      </c>
    </row>
    <row r="45" spans="1:15" x14ac:dyDescent="0.2">
      <c r="A45" s="3" t="s">
        <v>33</v>
      </c>
    </row>
    <row r="46" spans="1:15" x14ac:dyDescent="0.2">
      <c r="A46" s="3" t="s">
        <v>34</v>
      </c>
    </row>
    <row r="47" spans="1:15" x14ac:dyDescent="0.2">
      <c r="A47" s="3" t="s">
        <v>35</v>
      </c>
    </row>
    <row r="48" spans="1:15" x14ac:dyDescent="0.2">
      <c r="A48" s="3" t="s">
        <v>36</v>
      </c>
    </row>
    <row r="49" spans="1:1" x14ac:dyDescent="0.2">
      <c r="A49" s="3" t="s">
        <v>37</v>
      </c>
    </row>
    <row r="50" spans="1:1" x14ac:dyDescent="0.2">
      <c r="A50" s="3" t="s">
        <v>38</v>
      </c>
    </row>
    <row r="51" spans="1:1" x14ac:dyDescent="0.2">
      <c r="A51" s="27" t="s">
        <v>106</v>
      </c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</sheetData>
  <sheetProtection algorithmName="SHA-512" hashValue="QXY6GHEPPYmUqi6zpRR62O8YJdtXyJDxIxztqxKhDjDdUkCikbk0goJ5CDkX2WMxI5ivH8zJANQ/T+EDuS10uA==" saltValue="ES8y75fYQml7M1vGER7p1Q==" spinCount="100000" sheet="1" objects="1" scenarios="1"/>
  <dataConsolidate/>
  <phoneticPr fontId="0" type="noConversion"/>
  <dataValidations count="1">
    <dataValidation type="list" allowBlank="1" showInputMessage="1" showErrorMessage="1" sqref="B13:B30" xr:uid="{00000000-0002-0000-0000-000000000000}">
      <formula1>$A$12:$A$51</formula1>
    </dataValidation>
  </dataValidations>
  <pageMargins left="0.75" right="0.75" top="0.75" bottom="0.75" header="0.5" footer="0.5"/>
  <pageSetup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0"/>
  <sheetViews>
    <sheetView workbookViewId="0"/>
  </sheetViews>
  <sheetFormatPr defaultRowHeight="12.75" x14ac:dyDescent="0.2"/>
  <cols>
    <col min="1" max="1" width="33.140625" style="14" customWidth="1"/>
    <col min="2" max="2" width="11.28515625" style="14" bestFit="1" customWidth="1"/>
    <col min="3" max="3" width="12.42578125" style="14" customWidth="1"/>
    <col min="4" max="16384" width="9.140625" style="14"/>
  </cols>
  <sheetData>
    <row r="1" spans="1:7" ht="15.75" x14ac:dyDescent="0.25">
      <c r="A1" s="13" t="s">
        <v>110</v>
      </c>
    </row>
    <row r="2" spans="1:7" ht="15.75" x14ac:dyDescent="0.25">
      <c r="A2" s="13" t="s">
        <v>82</v>
      </c>
    </row>
    <row r="3" spans="1:7" x14ac:dyDescent="0.2">
      <c r="A3" s="30" t="s">
        <v>109</v>
      </c>
      <c r="B3" s="93"/>
      <c r="C3" s="94"/>
      <c r="D3" s="94"/>
      <c r="E3" s="94"/>
      <c r="F3" s="95"/>
    </row>
    <row r="5" spans="1:7" x14ac:dyDescent="0.2">
      <c r="A5" s="15" t="s">
        <v>100</v>
      </c>
    </row>
    <row r="6" spans="1:7" x14ac:dyDescent="0.2">
      <c r="B6" s="16" t="s">
        <v>83</v>
      </c>
      <c r="C6" s="16" t="s">
        <v>84</v>
      </c>
      <c r="G6" s="26"/>
    </row>
    <row r="7" spans="1:7" x14ac:dyDescent="0.2">
      <c r="A7" s="12" t="s">
        <v>85</v>
      </c>
      <c r="B7" s="55"/>
      <c r="C7" s="55"/>
    </row>
    <row r="8" spans="1:7" x14ac:dyDescent="0.2">
      <c r="A8" s="12" t="s">
        <v>86</v>
      </c>
      <c r="B8" s="55"/>
      <c r="C8" s="55"/>
    </row>
    <row r="9" spans="1:7" x14ac:dyDescent="0.2">
      <c r="A9" s="12" t="s">
        <v>87</v>
      </c>
      <c r="B9" s="17"/>
      <c r="C9" s="17"/>
    </row>
    <row r="10" spans="1:7" x14ac:dyDescent="0.2">
      <c r="A10" s="12" t="s">
        <v>93</v>
      </c>
      <c r="B10" s="17"/>
      <c r="C10" s="17"/>
    </row>
    <row r="11" spans="1:7" x14ac:dyDescent="0.2">
      <c r="A11" s="12" t="s">
        <v>88</v>
      </c>
      <c r="B11" s="17"/>
      <c r="C11" s="17"/>
    </row>
    <row r="12" spans="1:7" x14ac:dyDescent="0.2">
      <c r="A12" s="12" t="s">
        <v>89</v>
      </c>
      <c r="B12" s="17"/>
      <c r="C12" s="17"/>
    </row>
    <row r="13" spans="1:7" x14ac:dyDescent="0.2">
      <c r="A13" s="12" t="s">
        <v>90</v>
      </c>
      <c r="B13" s="17"/>
      <c r="C13" s="17"/>
    </row>
    <row r="14" spans="1:7" x14ac:dyDescent="0.2">
      <c r="A14" s="12" t="s">
        <v>91</v>
      </c>
      <c r="B14" s="55"/>
      <c r="C14" s="55"/>
    </row>
    <row r="15" spans="1:7" x14ac:dyDescent="0.2">
      <c r="A15" s="12" t="s">
        <v>92</v>
      </c>
      <c r="B15" s="55"/>
      <c r="C15" s="55"/>
    </row>
    <row r="17" spans="1:4" x14ac:dyDescent="0.2">
      <c r="A17" s="15" t="s">
        <v>99</v>
      </c>
      <c r="D17" s="18"/>
    </row>
    <row r="18" spans="1:4" x14ac:dyDescent="0.2">
      <c r="A18" s="12" t="s">
        <v>95</v>
      </c>
      <c r="B18" s="55"/>
      <c r="C18" s="16" t="s">
        <v>96</v>
      </c>
    </row>
    <row r="19" spans="1:4" x14ac:dyDescent="0.2">
      <c r="A19" s="12" t="s">
        <v>97</v>
      </c>
      <c r="B19" s="55"/>
      <c r="C19" s="16" t="s">
        <v>98</v>
      </c>
    </row>
    <row r="20" spans="1:4" x14ac:dyDescent="0.2">
      <c r="B20" s="14" t="s">
        <v>101</v>
      </c>
    </row>
  </sheetData>
  <sheetProtection algorithmName="SHA-512" hashValue="pbkkbkqgwiLWQPv5hbbxTpp8sgxvkAU1b/5w1iBKcO5mVHIFe9eqUn67efi9W6J57fD2Hx3V8sTThMjvi1mY3A==" saltValue="vQOolO/TBsr6Vc+v2Q0BOA==" spinCount="100000" sheet="1" objects="1" scenarios="1"/>
  <phoneticPr fontId="12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3"/>
  <sheetViews>
    <sheetView workbookViewId="0"/>
  </sheetViews>
  <sheetFormatPr defaultRowHeight="12.75" x14ac:dyDescent="0.2"/>
  <cols>
    <col min="1" max="1" width="10.140625" customWidth="1"/>
    <col min="2" max="2" width="10.85546875" customWidth="1"/>
    <col min="3" max="3" width="9.42578125" customWidth="1"/>
    <col min="5" max="5" width="7.28515625" customWidth="1"/>
    <col min="6" max="6" width="10.7109375" customWidth="1"/>
    <col min="8" max="8" width="8.7109375" customWidth="1"/>
    <col min="10" max="10" width="8.5703125" customWidth="1"/>
  </cols>
  <sheetData>
    <row r="1" spans="1:11" x14ac:dyDescent="0.2">
      <c r="A1" s="101" t="s">
        <v>59</v>
      </c>
      <c r="B1" s="102"/>
      <c r="C1" s="102"/>
      <c r="D1" s="102"/>
      <c r="E1" s="102"/>
      <c r="F1" s="102"/>
      <c r="G1" s="102"/>
      <c r="H1" s="102"/>
    </row>
    <row r="2" spans="1:11" x14ac:dyDescent="0.2">
      <c r="A2" s="53"/>
      <c r="B2" s="54"/>
      <c r="C2" s="54"/>
      <c r="D2" s="54"/>
      <c r="E2" s="54"/>
      <c r="F2" s="54"/>
      <c r="G2" s="54"/>
      <c r="H2" s="54"/>
    </row>
    <row r="3" spans="1:11" x14ac:dyDescent="0.2">
      <c r="A3" s="98" t="s">
        <v>112</v>
      </c>
      <c r="B3" s="99"/>
      <c r="C3" s="105" t="s">
        <v>94</v>
      </c>
      <c r="D3" s="106"/>
      <c r="E3" s="107"/>
      <c r="F3" s="107"/>
      <c r="G3" s="107"/>
      <c r="H3" s="107"/>
      <c r="I3" s="107"/>
      <c r="J3" s="108"/>
    </row>
    <row r="4" spans="1:11" x14ac:dyDescent="0.2">
      <c r="A4" s="98" t="s">
        <v>60</v>
      </c>
      <c r="B4" s="103"/>
      <c r="C4" s="99"/>
      <c r="D4" s="120">
        <f>Welding!E8/1000</f>
        <v>0</v>
      </c>
      <c r="E4" s="104"/>
      <c r="F4" s="121" t="s">
        <v>81</v>
      </c>
      <c r="G4" s="122"/>
      <c r="H4" s="123"/>
      <c r="I4" s="98" t="s">
        <v>61</v>
      </c>
      <c r="J4" s="99"/>
    </row>
    <row r="5" spans="1:11" x14ac:dyDescent="0.2">
      <c r="A5" s="103"/>
      <c r="B5" s="103"/>
      <c r="C5" s="103"/>
      <c r="D5" s="114"/>
      <c r="E5" s="115"/>
      <c r="F5" s="116"/>
      <c r="G5" s="116"/>
      <c r="H5" s="116"/>
      <c r="I5" s="117"/>
      <c r="J5" s="117"/>
    </row>
    <row r="6" spans="1:11" x14ac:dyDescent="0.2">
      <c r="A6" s="119"/>
      <c r="B6" s="111"/>
      <c r="C6" s="111"/>
      <c r="D6" s="111"/>
      <c r="E6" s="111" t="s">
        <v>62</v>
      </c>
      <c r="F6" s="111"/>
      <c r="G6" s="111"/>
      <c r="H6" s="111"/>
      <c r="I6" s="111"/>
      <c r="J6" s="100"/>
    </row>
    <row r="7" spans="1:11" x14ac:dyDescent="0.2">
      <c r="A7" s="118">
        <v>14</v>
      </c>
      <c r="B7" s="118">
        <v>15</v>
      </c>
      <c r="C7" s="118">
        <v>16</v>
      </c>
      <c r="D7" s="118">
        <v>17</v>
      </c>
      <c r="E7" s="118">
        <v>18</v>
      </c>
      <c r="F7" s="118">
        <v>19</v>
      </c>
      <c r="G7" s="118">
        <v>20</v>
      </c>
      <c r="H7" s="118">
        <v>21</v>
      </c>
      <c r="I7" s="118">
        <v>22</v>
      </c>
      <c r="J7" s="118">
        <v>23</v>
      </c>
    </row>
    <row r="8" spans="1:11" ht="58.5" customHeight="1" x14ac:dyDescent="0.2">
      <c r="A8" s="10" t="s">
        <v>63</v>
      </c>
      <c r="B8" s="10" t="s">
        <v>64</v>
      </c>
      <c r="C8" s="10" t="s">
        <v>65</v>
      </c>
      <c r="D8" s="10" t="s">
        <v>66</v>
      </c>
      <c r="E8" s="10" t="s">
        <v>67</v>
      </c>
      <c r="F8" s="10" t="s">
        <v>68</v>
      </c>
      <c r="G8" s="10" t="s">
        <v>69</v>
      </c>
      <c r="H8" s="10" t="s">
        <v>70</v>
      </c>
      <c r="I8" s="10" t="s">
        <v>71</v>
      </c>
      <c r="J8" s="10" t="s">
        <v>72</v>
      </c>
    </row>
    <row r="9" spans="1:11" x14ac:dyDescent="0.2">
      <c r="A9" s="11" t="s">
        <v>73</v>
      </c>
      <c r="B9" s="41" t="str">
        <f>IF(Welding!G34&gt;0,Welding!G34," ")</f>
        <v xml:space="preserve"> </v>
      </c>
      <c r="C9" s="42" t="str">
        <f>IF(Welding!G34&gt;0,"lb/1000 lb"," ")</f>
        <v xml:space="preserve"> </v>
      </c>
      <c r="D9" s="42" t="str">
        <f>IF(Welding!G34&gt;0,"AP-42"," ")</f>
        <v xml:space="preserve"> </v>
      </c>
      <c r="E9" s="43"/>
      <c r="F9" s="43" t="str">
        <f>IF(Welding!G34&gt;0,B9*D4," ")</f>
        <v xml:space="preserve"> </v>
      </c>
      <c r="G9" s="43">
        <f>Welding!E9</f>
        <v>0</v>
      </c>
      <c r="H9" s="43"/>
      <c r="I9" s="43" t="str">
        <f>IF('Permit Limits'!B7&gt;0,('Permit Limits'!B7),IF('Permit Limits'!B8&gt;0,('Permit Limits'!B8),((IF(G9&gt;0,(F9*((100-G9)/100))," ")))))</f>
        <v xml:space="preserve"> </v>
      </c>
      <c r="J9" s="44" t="str">
        <f>IF(Welding!G34=0,(" "),IF('Permit Limits'!C7&gt;0,('Permit Limits'!C7),IF('Permit Limits'!C8&gt;0,('Permit Limits'!C8),(IF('Permit Limits'!B18&gt;0,('Permit Limits'!B18/1000*B9/2000*((100-G9)/100)),(IF('Permit Limits'!B19&gt;0,('Permit Limits'!B19*F9*((100-G9)/100)/2000),(IF('Permit Limits'!B7&gt;0,'Permit Limits'!B7*8760/2000,(IF('Permit Limits'!B8&gt;0,'Permit Limits'!B8*8760/2000,(IF(G9&gt;0,(I9*8760/2000),(F9*8760/2000))))))))))))))</f>
        <v xml:space="preserve"> </v>
      </c>
      <c r="K9" t="str">
        <f>IF(Welding!G34=0,("Exempt from Reporting PTE &lt;0.01 tpy"),IF(J9&gt;0.005,"Include in Inventory","Exempt from Inventory &lt;0.01 tpy"))</f>
        <v>Exempt from Reporting PTE &lt;0.01 tpy</v>
      </c>
    </row>
    <row r="10" spans="1:11" x14ac:dyDescent="0.2">
      <c r="A10" s="11" t="s">
        <v>74</v>
      </c>
      <c r="B10" s="41" t="str">
        <f>IF(Welding!G34&gt;0,Welding!G34," ")</f>
        <v xml:space="preserve"> </v>
      </c>
      <c r="C10" s="42" t="str">
        <f>IF(Welding!G34&gt;0,"lb/1000 lb"," ")</f>
        <v xml:space="preserve"> </v>
      </c>
      <c r="D10" s="42" t="str">
        <f>IF(Welding!G34&gt;0,"AP-42"," ")</f>
        <v xml:space="preserve"> </v>
      </c>
      <c r="E10" s="43"/>
      <c r="F10" s="43" t="str">
        <f>IF(Welding!G34&gt;0,B10*D4," ")</f>
        <v xml:space="preserve"> </v>
      </c>
      <c r="G10" s="43">
        <f>Welding!E9</f>
        <v>0</v>
      </c>
      <c r="H10" s="43"/>
      <c r="I10" s="43" t="str">
        <f>IF('Permit Limits'!B8&gt;0,('Permit Limits'!B8),IF('Permit Limits'!B7&gt;0,('Permit Limits'!B7),((IF(G10&gt;0,(F10*((100-G10)/100))," ")))))</f>
        <v xml:space="preserve"> </v>
      </c>
      <c r="J10" s="44" t="str">
        <f>IF(Welding!G34=0,(" "),IF('Permit Limits'!C8&gt;0,('Permit Limits'!C8),IF('Permit Limits'!C7&gt;0,('Permit Limits'!C7),(IF('Permit Limits'!B18&gt;0,('Permit Limits'!B18/1000*B10/2000*((100-G10)/100)),(IF('Permit Limits'!B19&gt;0,('Permit Limits'!B19*F10*((100-G10)/100)/2000),(IF('Permit Limits'!B8&gt;0,'Permit Limits'!B8*8760/2000,(IF('Permit Limits'!B7&gt;0,'Permit Limits'!B7*8760/2000,(IF(G10&gt;0,(I10*8760/2000),(F10*8760/2000))))))))))))))</f>
        <v xml:space="preserve"> </v>
      </c>
      <c r="K10" t="str">
        <f>IF(Welding!G34=0,("Exempt from Reporting PTE &lt;0.01 tpy"),IF(J10&gt;0.005,"Include in Inventory","Exempt from Inventory &lt;0.01 tpy"))</f>
        <v>Exempt from Reporting PTE &lt;0.01 tpy</v>
      </c>
    </row>
    <row r="11" spans="1:11" x14ac:dyDescent="0.2">
      <c r="A11" s="11" t="s">
        <v>75</v>
      </c>
      <c r="B11" s="5"/>
      <c r="C11" s="8"/>
      <c r="D11" s="8"/>
      <c r="E11" s="6"/>
      <c r="F11" s="6"/>
      <c r="G11" s="6"/>
      <c r="H11" s="7"/>
      <c r="I11" s="6"/>
      <c r="J11" s="6"/>
    </row>
    <row r="12" spans="1:11" x14ac:dyDescent="0.2">
      <c r="A12" s="11" t="s">
        <v>76</v>
      </c>
      <c r="B12" s="5"/>
      <c r="C12" s="8"/>
      <c r="D12" s="8"/>
      <c r="E12" s="7"/>
      <c r="F12" s="6"/>
      <c r="G12" s="6"/>
      <c r="H12" s="7"/>
      <c r="I12" s="6"/>
      <c r="J12" s="6"/>
    </row>
    <row r="13" spans="1:11" x14ac:dyDescent="0.2">
      <c r="A13" s="11" t="s">
        <v>77</v>
      </c>
      <c r="B13" s="5"/>
      <c r="C13" s="8"/>
      <c r="D13" s="8"/>
      <c r="E13" s="7"/>
      <c r="F13" s="6"/>
      <c r="G13" s="6"/>
      <c r="H13" s="7"/>
      <c r="I13" s="6"/>
      <c r="J13" s="6"/>
    </row>
    <row r="14" spans="1:11" x14ac:dyDescent="0.2">
      <c r="A14" s="11" t="s">
        <v>78</v>
      </c>
      <c r="B14" s="5"/>
      <c r="C14" s="8"/>
      <c r="D14" s="8"/>
      <c r="E14" s="7"/>
      <c r="F14" s="6"/>
      <c r="G14" s="6"/>
      <c r="H14" s="7"/>
      <c r="I14" s="6"/>
      <c r="J14" s="6"/>
    </row>
    <row r="15" spans="1:11" x14ac:dyDescent="0.2">
      <c r="A15" s="11" t="s">
        <v>79</v>
      </c>
      <c r="B15" s="5"/>
      <c r="C15" s="8"/>
      <c r="D15" s="8"/>
      <c r="E15" s="7"/>
      <c r="F15" s="6"/>
      <c r="G15" s="6"/>
      <c r="H15" s="7"/>
      <c r="I15" s="6"/>
      <c r="J15" s="6"/>
    </row>
    <row r="16" spans="1:11" x14ac:dyDescent="0.2">
      <c r="A16" s="11" t="s">
        <v>80</v>
      </c>
      <c r="B16" s="5"/>
      <c r="C16" s="8"/>
      <c r="D16" s="8"/>
      <c r="E16" s="7"/>
      <c r="F16" s="6"/>
      <c r="G16" s="6"/>
      <c r="H16" s="7"/>
      <c r="I16" s="6"/>
      <c r="J16" s="6"/>
    </row>
    <row r="17" spans="1:11" x14ac:dyDescent="0.2">
      <c r="A17" s="110" t="s">
        <v>130</v>
      </c>
      <c r="B17" s="111"/>
      <c r="C17" s="111"/>
      <c r="D17" s="111"/>
      <c r="E17" s="111"/>
      <c r="F17" s="111"/>
      <c r="G17" s="111"/>
      <c r="H17" s="111"/>
      <c r="I17" s="111"/>
      <c r="J17" s="100"/>
    </row>
    <row r="18" spans="1:11" ht="14.25" customHeight="1" x14ac:dyDescent="0.2">
      <c r="A18" s="86" t="s">
        <v>114</v>
      </c>
      <c r="B18" s="45" t="str">
        <f>IF(Welding!G35&gt;0,Welding!G35," ")</f>
        <v xml:space="preserve"> </v>
      </c>
      <c r="C18" s="46" t="str">
        <f>IF(Welding!G35&gt;0,("lb/1000 lb"),(""))</f>
        <v/>
      </c>
      <c r="D18" s="46" t="str">
        <f>IF(Welding!G35&gt;0,"AP-42","")</f>
        <v/>
      </c>
      <c r="E18" s="47"/>
      <c r="F18" s="85" t="str">
        <f>IF(Welding!G35&gt;0,B18*D4," ")</f>
        <v xml:space="preserve"> </v>
      </c>
      <c r="G18" s="48" t="str">
        <f>IF(Welding!G35&gt;0,Welding!E9," ")</f>
        <v xml:space="preserve"> </v>
      </c>
      <c r="H18" s="47"/>
      <c r="I18" s="85" t="str">
        <f>IF(AND(Welding!G35&gt;0,Welding!E9&gt;0),(F18*((100-G18)/100)),(" "))</f>
        <v xml:space="preserve"> </v>
      </c>
      <c r="J18" s="49" t="str">
        <f>IF(Welding!G35=0,(" "),IF('Permit Limits'!C14&gt;0,('Permit Limits'!C14),(IF('Permit Limits'!B18&gt;0,('Permit Limits'!B18/1000*B18/2000),(IF('Permit Limits'!B19&gt;0,('Permit Limits'!B19*F18/2000),(IF('Permit Limits'!B14&gt;0,'Permit Limits'!B14*8760/2000,(IF(G18&gt;0,(I18*8760/2000),(F18*8760/2000)))))))))))</f>
        <v xml:space="preserve"> </v>
      </c>
      <c r="K18" t="str">
        <f>IF(Welding!G35=0,("Exempt from Reporting PTE &lt;0.01 tpy"),IF(J18&gt;0.005,"Include in Inventory","Exempt from Reporting PTE &lt;0.01 tpy"))</f>
        <v>Exempt from Reporting PTE &lt;0.01 tpy</v>
      </c>
    </row>
    <row r="19" spans="1:11" x14ac:dyDescent="0.2">
      <c r="A19" s="86" t="s">
        <v>115</v>
      </c>
      <c r="B19" s="45" t="str">
        <f>IF(Welding!G36&gt;0,Welding!G36," ")</f>
        <v xml:space="preserve"> </v>
      </c>
      <c r="C19" s="46" t="str">
        <f>IF(Welding!G36&gt;0,("lb/1000 lb"),(""))</f>
        <v/>
      </c>
      <c r="D19" s="46" t="str">
        <f>IF(Welding!G36&gt;0,"AP-42","")</f>
        <v/>
      </c>
      <c r="E19" s="47"/>
      <c r="F19" s="85" t="str">
        <f>IF(Welding!G36&gt;0,B19*D4," ")</f>
        <v xml:space="preserve"> </v>
      </c>
      <c r="G19" s="48" t="str">
        <f>IF(Welding!G36&gt;0,Welding!E9," ")</f>
        <v xml:space="preserve"> </v>
      </c>
      <c r="H19" s="47"/>
      <c r="I19" s="85" t="str">
        <f>IF(AND(Welding!G36&gt;0,Welding!E9&gt;0),(F19*((100-G19)/100)),(" "))</f>
        <v xml:space="preserve"> </v>
      </c>
      <c r="J19" s="49" t="str">
        <f>IF(Welding!G36=0,(" "),IF('Permit Limits'!C14&gt;0,('Permit Limits'!C14),(IF('Permit Limits'!B18&gt;0,('Permit Limits'!B18/1000*B19/2000),(IF('Permit Limits'!B19&gt;0,('Permit Limits'!B19*F19/2000),(IF('Permit Limits'!B14&gt;0,'Permit Limits'!B14*8760/2000,(IF(G19&gt;0,(I19*8760/2000),(F19*8760/2000)))))))))))</f>
        <v xml:space="preserve"> </v>
      </c>
      <c r="K19" t="str">
        <f>IF(Welding!G36=0,("Exempt from Reporting PTE &lt;0.01 tpy"),IF(J19&gt;0.005,"Include in Inventory","Exempt from Reporting PTE &lt;0.01 tpy"))</f>
        <v>Exempt from Reporting PTE &lt;0.01 tpy</v>
      </c>
    </row>
    <row r="20" spans="1:11" x14ac:dyDescent="0.2">
      <c r="A20" s="86" t="s">
        <v>116</v>
      </c>
      <c r="B20" s="45" t="str">
        <f>IF(Welding!G37&gt;0,Welding!G37," ")</f>
        <v xml:space="preserve"> </v>
      </c>
      <c r="C20" s="46" t="str">
        <f>IF(Welding!G37&gt;0,("lb/1000 lb"),(""))</f>
        <v/>
      </c>
      <c r="D20" s="46" t="str">
        <f>IF(Welding!G37&gt;0,"AP-42","")</f>
        <v/>
      </c>
      <c r="E20" s="47"/>
      <c r="F20" s="85" t="str">
        <f>IF(Welding!G37&gt;0,B20*D4," ")</f>
        <v xml:space="preserve"> </v>
      </c>
      <c r="G20" s="48" t="str">
        <f>IF(Welding!G37&gt;0,Welding!E9," ")</f>
        <v xml:space="preserve"> </v>
      </c>
      <c r="H20" s="47"/>
      <c r="I20" s="85" t="str">
        <f>IF(AND(Welding!G37&gt;0,Welding!E9&gt;0),(F20*((100-G20)/100)),(" "))</f>
        <v xml:space="preserve"> </v>
      </c>
      <c r="J20" s="49" t="str">
        <f>IF(Welding!G37=0,(" "),IF('Permit Limits'!C14&gt;0,('Permit Limits'!C14),(IF('Permit Limits'!B18&gt;0,('Permit Limits'!B18/1000*B20/2000),(IF('Permit Limits'!B19&gt;0,('Permit Limits'!B19*F20/2000),(IF('Permit Limits'!B14&gt;0,'Permit Limits'!B14*8760/2000,(IF(G20&gt;0,(I20*8760/2000),(F20*8760/2000)))))))))))</f>
        <v xml:space="preserve"> </v>
      </c>
      <c r="K20" t="str">
        <f>IF(Welding!G37=0,("Exempt from Reporting PTE &lt;0.01 tpy"),IF(J20&gt;0.005,"Include in Inventory","Exempt from Reporting PTE &lt;0.01 tpy"))</f>
        <v>Exempt from Reporting PTE &lt;0.01 tpy</v>
      </c>
    </row>
    <row r="21" spans="1:11" x14ac:dyDescent="0.2">
      <c r="A21" s="86" t="s">
        <v>117</v>
      </c>
      <c r="B21" s="45" t="str">
        <f>IF(Welding!G38&gt;0,Welding!G38," ")</f>
        <v xml:space="preserve"> </v>
      </c>
      <c r="C21" s="46" t="str">
        <f>IF(Welding!G38&gt;0,("lb/1000 lb"),(""))</f>
        <v/>
      </c>
      <c r="D21" s="46" t="str">
        <f>IF(Welding!G38&gt;0,"AP-42","")</f>
        <v/>
      </c>
      <c r="E21" s="47"/>
      <c r="F21" s="85" t="str">
        <f>IF(Welding!G38&gt;0,B21*D4," ")</f>
        <v xml:space="preserve"> </v>
      </c>
      <c r="G21" s="48" t="str">
        <f>IF(Welding!G38&gt;0,Welding!E9," ")</f>
        <v xml:space="preserve"> </v>
      </c>
      <c r="H21" s="47"/>
      <c r="I21" s="85" t="str">
        <f>IF(AND(Welding!G38&gt;0,Welding!E9&gt;0),(F21*((100-G21)/100)),(" "))</f>
        <v xml:space="preserve"> </v>
      </c>
      <c r="J21" s="49" t="str">
        <f>IF(Welding!G38=0,(" "),IF('Permit Limits'!C14&gt;0,('Permit Limits'!C14),(IF('Permit Limits'!B18&gt;0,('Permit Limits'!B18/1000*B21/2000),(IF('Permit Limits'!B19&gt;0,('Permit Limits'!B19*F21/2000),(IF('Permit Limits'!B14&gt;0,'Permit Limits'!B14*8760/2000,(IF(G21&gt;0,(I21*8760/2000),(F21*8760/2000)))))))))))</f>
        <v xml:space="preserve"> </v>
      </c>
      <c r="K21" t="str">
        <f>IF(Welding!G38=0,("Exempt from Reporting PTE &lt;0.01 tpy"),IF(J21&gt;0.005,"Include in Inventory","Exempt from Reporting PTE &lt;0.01 tpy"))</f>
        <v>Exempt from Reporting PTE &lt;0.01 tpy</v>
      </c>
    </row>
    <row r="22" spans="1:11" ht="14.25" customHeight="1" x14ac:dyDescent="0.2">
      <c r="A22" s="86" t="s">
        <v>118</v>
      </c>
      <c r="B22" s="45" t="str">
        <f>IF(Welding!G39&gt;0,Welding!G39," ")</f>
        <v xml:space="preserve"> </v>
      </c>
      <c r="C22" s="46" t="str">
        <f>IF(Welding!G39&gt;0,("lb/1000 lb"),(""))</f>
        <v/>
      </c>
      <c r="D22" s="46" t="str">
        <f>IF(Welding!G39&gt;0,"AP-42","")</f>
        <v/>
      </c>
      <c r="E22" s="47"/>
      <c r="F22" s="85" t="str">
        <f>IF(Welding!G39&gt;0,B22*D4," ")</f>
        <v xml:space="preserve"> </v>
      </c>
      <c r="G22" s="48" t="str">
        <f>IF(Welding!G39&gt;0,Welding!E9," ")</f>
        <v xml:space="preserve"> </v>
      </c>
      <c r="H22" s="47"/>
      <c r="I22" s="85" t="str">
        <f>IF(AND(Welding!G39&gt;0,Welding!E9&gt;0),(F22*((100-G22)/100)),(" "))</f>
        <v xml:space="preserve"> </v>
      </c>
      <c r="J22" s="49" t="str">
        <f>IF(Welding!G39=0,(" "),IF('Permit Limits'!C14&gt;0,('Permit Limits'!C14),(IF('Permit Limits'!B18&gt;0,('Permit Limits'!B18/1000*B22/2000),(IF('Permit Limits'!B19&gt;0,('Permit Limits'!B19*F22/2000),(IF('Permit Limits'!B14&gt;0,'Permit Limits'!B14*8760/2000,(IF(G22&gt;0,(I22*8760/2000),(F22*8760/2000)))))))))))</f>
        <v xml:space="preserve"> </v>
      </c>
      <c r="K22" t="str">
        <f>IF(Welding!G39=0,("Exempt from Reporting PTE &lt;0.01 tpy"),IF(J22&gt;0.005,"Include in Inventory","Exempt from Reporting PTE &lt;0.01 tpy"))</f>
        <v>Exempt from Reporting PTE &lt;0.01 tpy</v>
      </c>
    </row>
    <row r="23" spans="1:11" x14ac:dyDescent="0.2">
      <c r="A23" s="87" t="s">
        <v>119</v>
      </c>
      <c r="B23" s="45" t="str">
        <f>IF(Welding!G40&gt;0,Welding!G40," ")</f>
        <v xml:space="preserve"> </v>
      </c>
      <c r="C23" s="46" t="str">
        <f>IF(Welding!G40&gt;0,("lb/1000 lb"),(""))</f>
        <v/>
      </c>
      <c r="D23" s="46" t="str">
        <f>IF(Welding!G40&gt;0,"AP-42","")</f>
        <v/>
      </c>
      <c r="E23" s="7"/>
      <c r="F23" s="85" t="str">
        <f>IF(Welding!G40&gt;0,B23*D4," ")</f>
        <v xml:space="preserve"> </v>
      </c>
      <c r="G23" s="48" t="str">
        <f>IF(Welding!G40&gt;0,Welding!E9," ")</f>
        <v xml:space="preserve"> </v>
      </c>
      <c r="H23" s="7"/>
      <c r="I23" s="85" t="str">
        <f>IF(AND(Welding!G40&gt;0,Welding!E9&gt;0),(F23*((100-G23)/100)),(" "))</f>
        <v xml:space="preserve"> </v>
      </c>
      <c r="J23" s="85" t="str">
        <f>IF(Welding!G40=0,(" "),IF('Permit Limits'!C14&gt;0,('Permit Limits'!C14),(IF('Permit Limits'!B18&gt;0,('Permit Limits'!B18/1000*B23/2000),(IF('Permit Limits'!B19&gt;0,('Permit Limits'!B19*F23/2000),(IF('Permit Limits'!B14&gt;0,'Permit Limits'!B14*8760/2000,(IF(G23&gt;0,(I23*8760/2000),(F23*8760/2000)))))))))))</f>
        <v xml:space="preserve"> </v>
      </c>
      <c r="K23" t="str">
        <f>IF(Welding!G40=0,("Exempt from Reporting PTE &lt;0.01 tpy"),IF(J23&gt;0.005,"Include in Inventory","Exempt from Reporting PTE &lt;0.01 tpy"))</f>
        <v>Exempt from Reporting PTE &lt;0.01 tpy</v>
      </c>
    </row>
  </sheetData>
  <sheetProtection algorithmName="SHA-512" hashValue="GYaEn9ZgKe+OisfiaFNQ01a1ddfDg3wIg2bu8ZwUQlYgbdykje7GY38OKEL4oh2lzX+T32DWbbWB+owY6I+0Yg==" saltValue="GNHgSbS2SnhkmoxFmjWwrA==" spinCount="100000" sheet="1" objects="1" scenarios="1"/>
  <phoneticPr fontId="12" type="noConversion"/>
  <pageMargins left="0.5" right="0.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2.75" x14ac:dyDescent="0.2"/>
  <cols>
    <col min="1" max="1" width="35.7109375" customWidth="1"/>
    <col min="2" max="2" width="26.7109375" bestFit="1" customWidth="1"/>
    <col min="3" max="3" width="10.140625" customWidth="1"/>
    <col min="4" max="4" width="18.85546875" customWidth="1"/>
    <col min="5" max="5" width="18.140625" customWidth="1"/>
    <col min="6" max="6" width="18.140625" style="1" customWidth="1"/>
    <col min="7" max="7" width="8.7109375" customWidth="1"/>
    <col min="8" max="8" width="13.42578125" style="1" customWidth="1"/>
    <col min="9" max="9" width="0" hidden="1" customWidth="1"/>
  </cols>
  <sheetData>
    <row r="1" spans="1:9" ht="15" x14ac:dyDescent="0.25">
      <c r="A1" s="126" t="s">
        <v>131</v>
      </c>
    </row>
    <row r="2" spans="1:9" x14ac:dyDescent="0.2">
      <c r="A2" s="127" t="s">
        <v>132</v>
      </c>
      <c r="B2" s="127"/>
      <c r="C2" s="127"/>
      <c r="D2" s="127"/>
      <c r="E2" s="130"/>
      <c r="F2" s="145"/>
      <c r="G2" s="145"/>
      <c r="H2" s="145"/>
    </row>
    <row r="3" spans="1:9" s="129" customFormat="1" x14ac:dyDescent="0.2">
      <c r="A3" s="53"/>
      <c r="B3" s="54"/>
      <c r="C3" s="54"/>
      <c r="D3" s="54"/>
      <c r="E3" s="54"/>
      <c r="F3" s="124"/>
      <c r="G3" s="54"/>
      <c r="H3" s="124"/>
    </row>
    <row r="4" spans="1:9" s="129" customFormat="1" ht="15" x14ac:dyDescent="0.25">
      <c r="A4" s="131" t="s">
        <v>133</v>
      </c>
      <c r="B4" s="143"/>
      <c r="C4" s="143"/>
      <c r="D4" s="54"/>
      <c r="E4" s="54"/>
      <c r="F4" s="124"/>
      <c r="G4" s="54"/>
      <c r="H4" s="124"/>
    </row>
    <row r="5" spans="1:9" s="129" customFormat="1" x14ac:dyDescent="0.2">
      <c r="A5" s="110" t="s">
        <v>134</v>
      </c>
      <c r="B5" s="132" t="s">
        <v>135</v>
      </c>
      <c r="C5" s="54"/>
      <c r="D5" s="54"/>
      <c r="E5" s="54"/>
      <c r="F5" s="124"/>
      <c r="G5" s="54"/>
      <c r="H5" s="124"/>
    </row>
    <row r="6" spans="1:9" s="129" customFormat="1" x14ac:dyDescent="0.2">
      <c r="A6" s="110" t="s">
        <v>156</v>
      </c>
      <c r="B6" s="132">
        <f>Welding!C31/1000</f>
        <v>0</v>
      </c>
      <c r="C6" s="54"/>
      <c r="D6" s="54"/>
      <c r="E6" s="54"/>
      <c r="F6" s="124"/>
      <c r="G6" s="54"/>
      <c r="H6" s="124"/>
    </row>
    <row r="7" spans="1:9" s="129" customFormat="1" x14ac:dyDescent="0.2">
      <c r="A7" s="110" t="s">
        <v>136</v>
      </c>
      <c r="B7" s="133" t="s">
        <v>157</v>
      </c>
      <c r="C7" s="54"/>
      <c r="D7" s="54"/>
      <c r="E7" s="54"/>
      <c r="F7" s="124"/>
      <c r="G7" s="54"/>
      <c r="H7" s="124"/>
    </row>
    <row r="8" spans="1:9" s="129" customFormat="1" x14ac:dyDescent="0.2">
      <c r="A8" s="128" t="s">
        <v>137</v>
      </c>
      <c r="B8" s="134" t="s">
        <v>138</v>
      </c>
      <c r="C8" s="54"/>
      <c r="D8" s="54"/>
      <c r="E8" s="54"/>
      <c r="F8" s="124"/>
      <c r="G8" s="54"/>
      <c r="H8" s="124"/>
    </row>
    <row r="9" spans="1:9" x14ac:dyDescent="0.2">
      <c r="A9" s="128" t="s">
        <v>139</v>
      </c>
      <c r="B9" s="134" t="s">
        <v>158</v>
      </c>
      <c r="D9" s="139"/>
      <c r="E9" s="140"/>
      <c r="F9" s="141"/>
      <c r="G9" s="140"/>
      <c r="H9" s="141"/>
    </row>
    <row r="10" spans="1:9" x14ac:dyDescent="0.2">
      <c r="B10" s="103"/>
      <c r="C10" s="142"/>
      <c r="D10" s="129"/>
      <c r="E10" s="140"/>
      <c r="F10" s="137"/>
      <c r="G10" s="129"/>
      <c r="H10" s="141"/>
    </row>
    <row r="11" spans="1:9" x14ac:dyDescent="0.2">
      <c r="A11" s="142"/>
      <c r="B11" s="142"/>
      <c r="C11" s="142"/>
      <c r="D11" s="136"/>
      <c r="E11" s="124"/>
      <c r="F11" s="137"/>
      <c r="G11" s="138"/>
      <c r="H11" s="124"/>
    </row>
    <row r="12" spans="1:9" ht="15" x14ac:dyDescent="0.25">
      <c r="A12" s="131" t="s">
        <v>140</v>
      </c>
      <c r="B12" s="135"/>
      <c r="C12" s="135"/>
      <c r="D12" s="142"/>
      <c r="E12" s="129"/>
      <c r="F12" s="137"/>
      <c r="G12" s="142"/>
      <c r="H12" s="137"/>
    </row>
    <row r="13" spans="1:9" ht="52.5" customHeight="1" x14ac:dyDescent="0.25">
      <c r="A13" s="144" t="s">
        <v>143</v>
      </c>
      <c r="B13" s="144" t="s">
        <v>144</v>
      </c>
      <c r="C13" s="144" t="s">
        <v>145</v>
      </c>
      <c r="D13" s="144" t="s">
        <v>65</v>
      </c>
      <c r="E13" s="144" t="s">
        <v>146</v>
      </c>
      <c r="F13" s="144" t="s">
        <v>147</v>
      </c>
      <c r="G13" s="142"/>
      <c r="H13" s="137"/>
    </row>
    <row r="14" spans="1:9" ht="15" customHeight="1" x14ac:dyDescent="0.2">
      <c r="A14" s="146" t="s">
        <v>141</v>
      </c>
      <c r="B14" s="52" t="str">
        <f>IF(Welding!G34&gt;0,"3.2 Material Balance (pre-control)"," ")</f>
        <v xml:space="preserve"> </v>
      </c>
      <c r="C14" s="50" t="str">
        <f>IF(Welding!G34&gt;0,Welding!C34," ")</f>
        <v xml:space="preserve"> </v>
      </c>
      <c r="D14" s="51" t="str">
        <f>IF(Welding!G34&gt;0,"E3LB - 1000 pounds"," " )</f>
        <v xml:space="preserve"> </v>
      </c>
      <c r="E14" s="125">
        <f>Welding!E9</f>
        <v>0</v>
      </c>
      <c r="F14" s="109" t="str">
        <f>IF(Welding!G34&gt;0,B6*C14*((100-E14)/100)/2000," ")</f>
        <v xml:space="preserve"> </v>
      </c>
      <c r="I14" t="str">
        <f>'INV-3'!K9</f>
        <v>Exempt from Reporting PTE &lt;0.01 tpy</v>
      </c>
    </row>
    <row r="15" spans="1:9" ht="15" customHeight="1" x14ac:dyDescent="0.2">
      <c r="A15" s="146" t="s">
        <v>142</v>
      </c>
      <c r="B15" s="52" t="str">
        <f>IF(Welding!G34&gt;0,"3.2 Material Balance (pre-control)"," ")</f>
        <v xml:space="preserve"> </v>
      </c>
      <c r="C15" s="50" t="str">
        <f>IF(Welding!G34&gt;0,Welding!C34," ")</f>
        <v xml:space="preserve"> </v>
      </c>
      <c r="D15" s="51" t="str">
        <f>IF(Welding!G34&gt;0,"E3LB - 1000 pounds"," " )</f>
        <v xml:space="preserve"> </v>
      </c>
      <c r="E15" s="125">
        <f>Welding!E9</f>
        <v>0</v>
      </c>
      <c r="F15" s="109" t="str">
        <f>IF(Welding!G34&gt;0,B6*C15*((100-E15)/100)/2000," ")</f>
        <v xml:space="preserve"> </v>
      </c>
      <c r="I15" t="str">
        <f>'INV-3'!K10</f>
        <v>Exempt from Reporting PTE &lt;0.01 tpy</v>
      </c>
    </row>
    <row r="16" spans="1:9" x14ac:dyDescent="0.2">
      <c r="A16" s="146" t="s">
        <v>148</v>
      </c>
      <c r="B16" s="52" t="str">
        <f>IF(Welding!G35&gt;0,"3.2 Material Balance (pre-control)"," " )</f>
        <v xml:space="preserve"> </v>
      </c>
      <c r="C16" s="50" t="str">
        <f>IF(Welding!G35&gt;0,Welding!C35," ")</f>
        <v xml:space="preserve"> </v>
      </c>
      <c r="D16" s="51" t="str">
        <f>IF(Welding!G35&gt;0,"E3LB - 1000 pounds"," ")</f>
        <v xml:space="preserve"> </v>
      </c>
      <c r="E16" s="125" t="str">
        <f>IF(Welding!G35&gt;0,Welding!E9," ")</f>
        <v xml:space="preserve"> </v>
      </c>
      <c r="F16" s="109" t="str">
        <f>IF(Welding!G35&gt;0,$B$6*C16*((100-E16)/100)/2000," ")</f>
        <v xml:space="preserve"> </v>
      </c>
      <c r="I16" t="str">
        <f>'INV-3'!K18</f>
        <v>Exempt from Reporting PTE &lt;0.01 tpy</v>
      </c>
    </row>
    <row r="17" spans="1:9" x14ac:dyDescent="0.2">
      <c r="A17" s="146" t="s">
        <v>149</v>
      </c>
      <c r="B17" s="52" t="str">
        <f>IF(Welding!G36&gt;0,"3.2 Material Balance (pre-control)"," " )</f>
        <v xml:space="preserve"> </v>
      </c>
      <c r="C17" s="50" t="str">
        <f>IF(Welding!G36&gt;0,Welding!C36," ")</f>
        <v xml:space="preserve"> </v>
      </c>
      <c r="D17" s="51" t="str">
        <f>IF(Welding!G36&gt;0,"E3LB - 1000 pounds"," ")</f>
        <v xml:space="preserve"> </v>
      </c>
      <c r="E17" s="125" t="str">
        <f>IF(Welding!G36&gt;0,Welding!E9," ")</f>
        <v xml:space="preserve"> </v>
      </c>
      <c r="F17" s="109" t="str">
        <f>IF(Welding!G36&gt;0,$B$6*C17*((100-E17)/100)/2000," ")</f>
        <v xml:space="preserve"> </v>
      </c>
      <c r="I17" t="str">
        <f>'INV-3'!K19</f>
        <v>Exempt from Reporting PTE &lt;0.01 tpy</v>
      </c>
    </row>
    <row r="18" spans="1:9" ht="15" customHeight="1" x14ac:dyDescent="0.2">
      <c r="A18" s="146" t="s">
        <v>150</v>
      </c>
      <c r="B18" s="52" t="str">
        <f>IF(Welding!G37&gt;0,"3.2 Material Balance (pre-control)"," " )</f>
        <v xml:space="preserve"> </v>
      </c>
      <c r="C18" s="50" t="str">
        <f>IF(Welding!G37&gt;0,Welding!C37," ")</f>
        <v xml:space="preserve"> </v>
      </c>
      <c r="D18" s="51" t="str">
        <f>IF(Welding!G37&gt;0,"E3LB - 1000 pounds"," ")</f>
        <v xml:space="preserve"> </v>
      </c>
      <c r="E18" s="125" t="str">
        <f>IF(Welding!G37&gt;0,Welding!E9," ")</f>
        <v xml:space="preserve"> </v>
      </c>
      <c r="F18" s="109" t="str">
        <f>IF(Welding!G37&gt;0,$B$6*C18*((100-E18)/100)/2000," ")</f>
        <v xml:space="preserve"> </v>
      </c>
      <c r="I18" t="str">
        <f>'INV-3'!K20</f>
        <v>Exempt from Reporting PTE &lt;0.01 tpy</v>
      </c>
    </row>
    <row r="19" spans="1:9" ht="12.75" customHeight="1" x14ac:dyDescent="0.2">
      <c r="A19" s="146" t="s">
        <v>151</v>
      </c>
      <c r="B19" s="52" t="str">
        <f>IF(Welding!G38&gt;0,"3.2 Material Balance (pre-control)"," " )</f>
        <v xml:space="preserve"> </v>
      </c>
      <c r="C19" s="50" t="str">
        <f>IF(Welding!G38&gt;0,Welding!C38," ")</f>
        <v xml:space="preserve"> </v>
      </c>
      <c r="D19" s="51" t="str">
        <f>IF(Welding!G38&gt;0,"E3LB - 1000 pounds"," ")</f>
        <v xml:space="preserve"> </v>
      </c>
      <c r="E19" s="125" t="str">
        <f>IF(Welding!G38&gt;0,Welding!E9," ")</f>
        <v xml:space="preserve"> </v>
      </c>
      <c r="F19" s="109" t="str">
        <f>IF(Welding!G38&gt;0,$B$6*C19*((100-E19)/100)/2000," ")</f>
        <v xml:space="preserve"> </v>
      </c>
      <c r="I19" t="str">
        <f>'INV-3'!K21</f>
        <v>Exempt from Reporting PTE &lt;0.01 tpy</v>
      </c>
    </row>
    <row r="20" spans="1:9" x14ac:dyDescent="0.2">
      <c r="A20" s="146" t="s">
        <v>152</v>
      </c>
      <c r="B20" s="52" t="str">
        <f>IF(Welding!G39&gt;0,"3.2 Material Balance (pre-control)"," " )</f>
        <v xml:space="preserve"> </v>
      </c>
      <c r="C20" s="50" t="str">
        <f>IF(Welding!G39&gt;0,Welding!C39," ")</f>
        <v xml:space="preserve"> </v>
      </c>
      <c r="D20" s="51" t="str">
        <f>IF(Welding!G39&gt;0,"E3LB - 1000 pounds"," ")</f>
        <v xml:space="preserve"> </v>
      </c>
      <c r="E20" s="125" t="str">
        <f>IF(Welding!G39&gt;0,Welding!E9," ")</f>
        <v xml:space="preserve"> </v>
      </c>
      <c r="F20" s="109" t="str">
        <f>IF(Welding!G39&gt;0,$B$6*C20*((100-E20)/100)/2000," ")</f>
        <v xml:space="preserve"> </v>
      </c>
      <c r="I20" t="str">
        <f>'INV-3'!K22</f>
        <v>Exempt from Reporting PTE &lt;0.01 tpy</v>
      </c>
    </row>
    <row r="21" spans="1:9" x14ac:dyDescent="0.2">
      <c r="A21" s="146" t="s">
        <v>153</v>
      </c>
      <c r="B21" s="52" t="str">
        <f>IF(Welding!G40&gt;0,"3.2 Material Balance (pre-control)"," " )</f>
        <v xml:space="preserve"> </v>
      </c>
      <c r="C21" s="50" t="str">
        <f>IF(Welding!G40&gt;0,Welding!C40," ")</f>
        <v xml:space="preserve"> </v>
      </c>
      <c r="D21" s="51" t="str">
        <f>IF(Welding!G40&gt;0,"E3LB - 1000 pounds"," ")</f>
        <v xml:space="preserve"> </v>
      </c>
      <c r="E21" s="125" t="str">
        <f>IF(Welding!G40&gt;0,Welding!E9," ")</f>
        <v xml:space="preserve"> </v>
      </c>
      <c r="F21" s="109" t="str">
        <f>IF(Welding!G40&gt;0,$B$6*C21*((100-E21)/100)/2000," ")</f>
        <v xml:space="preserve"> </v>
      </c>
      <c r="I21" t="str">
        <f>'INV-3'!K23</f>
        <v>Exempt from Reporting PTE &lt;0.01 tpy</v>
      </c>
    </row>
  </sheetData>
  <sheetProtection algorithmName="SHA-512" hashValue="S6hFAgKdut0taxpY08uY34EjT29iSldcOKwh28V/kg5dqdg1fKR/8VthYdFr/zHlAfEeIUnMaEcYJJqFrFFGEw==" saltValue="O32mUkKVOfcRUiT+yOMRFQ==" spinCount="100000" sheet="1" objects="1" scenarios="1"/>
  <phoneticPr fontId="12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41"/>
  <sheetViews>
    <sheetView workbookViewId="0"/>
  </sheetViews>
  <sheetFormatPr defaultRowHeight="12.75" x14ac:dyDescent="0.2"/>
  <cols>
    <col min="1" max="1" width="15.140625" bestFit="1" customWidth="1"/>
    <col min="9" max="9" width="10" bestFit="1" customWidth="1"/>
    <col min="10" max="10" width="14.5703125" bestFit="1" customWidth="1"/>
  </cols>
  <sheetData>
    <row r="1" spans="1:10" x14ac:dyDescent="0.2">
      <c r="B1" t="s">
        <v>57</v>
      </c>
      <c r="C1" t="s">
        <v>11</v>
      </c>
      <c r="D1" t="s">
        <v>124</v>
      </c>
      <c r="E1" t="s">
        <v>14</v>
      </c>
      <c r="F1" t="s">
        <v>10</v>
      </c>
      <c r="G1" t="s">
        <v>4</v>
      </c>
      <c r="H1" t="s">
        <v>58</v>
      </c>
      <c r="I1" s="1"/>
    </row>
    <row r="2" spans="1:10" x14ac:dyDescent="0.2">
      <c r="A2" s="4" t="s">
        <v>55</v>
      </c>
      <c r="B2">
        <v>57</v>
      </c>
      <c r="C2">
        <v>0.97</v>
      </c>
      <c r="D2">
        <v>0.14000000000000001</v>
      </c>
      <c r="E2">
        <v>0</v>
      </c>
      <c r="F2">
        <v>2.02</v>
      </c>
      <c r="G2">
        <v>0.112</v>
      </c>
      <c r="H2">
        <v>0</v>
      </c>
      <c r="J2" s="9"/>
    </row>
    <row r="3" spans="1:10" x14ac:dyDescent="0.2">
      <c r="A3" s="4" t="s">
        <v>49</v>
      </c>
      <c r="B3">
        <v>20.8</v>
      </c>
      <c r="C3">
        <v>2E-3</v>
      </c>
      <c r="D3">
        <v>0</v>
      </c>
      <c r="E3">
        <v>0</v>
      </c>
      <c r="F3">
        <v>2.02</v>
      </c>
      <c r="G3">
        <v>0.112</v>
      </c>
      <c r="H3">
        <v>0</v>
      </c>
      <c r="J3" s="9"/>
    </row>
    <row r="4" spans="1:10" x14ac:dyDescent="0.2">
      <c r="A4" s="4" t="s">
        <v>50</v>
      </c>
      <c r="B4">
        <v>57</v>
      </c>
      <c r="C4">
        <v>0.96899999999999997</v>
      </c>
      <c r="D4">
        <v>0</v>
      </c>
      <c r="E4">
        <v>0</v>
      </c>
      <c r="F4">
        <v>0.70399999999999996</v>
      </c>
      <c r="G4">
        <v>0.10199999999999999</v>
      </c>
      <c r="H4">
        <v>0</v>
      </c>
      <c r="J4" s="9"/>
    </row>
    <row r="5" spans="1:10" x14ac:dyDescent="0.2">
      <c r="A5" s="4" t="s">
        <v>51</v>
      </c>
      <c r="B5">
        <v>9.1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J5" s="9"/>
    </row>
    <row r="6" spans="1:10" x14ac:dyDescent="0.2">
      <c r="A6" s="4" t="s">
        <v>52</v>
      </c>
      <c r="B6">
        <v>8.5</v>
      </c>
      <c r="C6">
        <v>0.97</v>
      </c>
      <c r="D6">
        <v>0.14000000000000001</v>
      </c>
      <c r="E6">
        <v>0</v>
      </c>
      <c r="F6">
        <v>0.59</v>
      </c>
      <c r="G6">
        <v>9.2999999999999999E-2</v>
      </c>
      <c r="H6">
        <v>0</v>
      </c>
      <c r="J6" s="9"/>
    </row>
    <row r="7" spans="1:10" x14ac:dyDescent="0.2">
      <c r="A7" s="4" t="s">
        <v>53</v>
      </c>
      <c r="B7">
        <v>15.1</v>
      </c>
      <c r="C7">
        <v>4.0000000000000001E-3</v>
      </c>
      <c r="D7">
        <v>0</v>
      </c>
      <c r="E7">
        <v>0</v>
      </c>
      <c r="F7">
        <v>0.89100000000000001</v>
      </c>
      <c r="G7">
        <v>5.0000000000000001E-3</v>
      </c>
      <c r="H7">
        <v>0</v>
      </c>
      <c r="J7" s="9"/>
    </row>
    <row r="8" spans="1:10" x14ac:dyDescent="0.2">
      <c r="A8" s="4" t="s">
        <v>54</v>
      </c>
      <c r="B8">
        <v>12.2</v>
      </c>
      <c r="C8">
        <v>2E-3</v>
      </c>
      <c r="D8">
        <v>0</v>
      </c>
      <c r="E8">
        <v>1E-3</v>
      </c>
      <c r="F8">
        <v>0.66200000000000003</v>
      </c>
      <c r="G8">
        <v>4.0000000000000001E-3</v>
      </c>
      <c r="H8">
        <v>0</v>
      </c>
      <c r="J8" s="9"/>
    </row>
    <row r="9" spans="1:10" x14ac:dyDescent="0.2">
      <c r="A9" s="4" t="s">
        <v>104</v>
      </c>
      <c r="B9">
        <v>57</v>
      </c>
      <c r="C9">
        <v>0.97</v>
      </c>
      <c r="D9">
        <v>0.14000000000000001</v>
      </c>
      <c r="E9">
        <v>0</v>
      </c>
      <c r="F9">
        <v>2.02</v>
      </c>
      <c r="G9">
        <v>0.112</v>
      </c>
      <c r="H9">
        <v>0</v>
      </c>
      <c r="J9" s="9"/>
    </row>
    <row r="10" spans="1:10" x14ac:dyDescent="0.2">
      <c r="A10" s="4" t="s">
        <v>48</v>
      </c>
      <c r="B10">
        <v>24.1</v>
      </c>
      <c r="C10">
        <v>0.52800000000000002</v>
      </c>
      <c r="D10">
        <v>0.01</v>
      </c>
      <c r="E10">
        <v>1E-3</v>
      </c>
      <c r="F10">
        <v>0.34599999999999997</v>
      </c>
      <c r="G10">
        <v>1.25</v>
      </c>
      <c r="H10">
        <v>0</v>
      </c>
      <c r="J10" s="9"/>
    </row>
    <row r="11" spans="1:10" x14ac:dyDescent="0.2">
      <c r="A11" s="4" t="s">
        <v>41</v>
      </c>
      <c r="B11">
        <v>5.4</v>
      </c>
      <c r="C11">
        <v>0.52400000000000002</v>
      </c>
      <c r="D11">
        <v>0</v>
      </c>
      <c r="E11">
        <v>1E-3</v>
      </c>
      <c r="F11">
        <v>0.34599999999999997</v>
      </c>
      <c r="G11">
        <v>0.184</v>
      </c>
      <c r="H11">
        <v>0</v>
      </c>
      <c r="J11" s="9"/>
    </row>
    <row r="12" spans="1:10" x14ac:dyDescent="0.2">
      <c r="A12" s="4" t="s">
        <v>42</v>
      </c>
      <c r="B12">
        <v>5.2</v>
      </c>
      <c r="C12">
        <v>1E-3</v>
      </c>
      <c r="D12">
        <v>0</v>
      </c>
      <c r="E12">
        <v>1E-3</v>
      </c>
      <c r="F12">
        <v>0.318</v>
      </c>
      <c r="G12">
        <v>1E-3</v>
      </c>
      <c r="H12">
        <v>0</v>
      </c>
      <c r="J12" s="9"/>
    </row>
    <row r="13" spans="1:10" x14ac:dyDescent="0.2">
      <c r="A13" s="4" t="s">
        <v>43</v>
      </c>
      <c r="B13">
        <v>20.5</v>
      </c>
      <c r="C13">
        <v>4.0000000000000001E-3</v>
      </c>
      <c r="D13">
        <v>0</v>
      </c>
      <c r="E13">
        <v>0</v>
      </c>
      <c r="F13">
        <v>0</v>
      </c>
      <c r="G13">
        <v>0</v>
      </c>
      <c r="H13">
        <v>0</v>
      </c>
      <c r="J13" s="9"/>
    </row>
    <row r="14" spans="1:10" x14ac:dyDescent="0.2">
      <c r="A14" s="4" t="s">
        <v>45</v>
      </c>
      <c r="B14">
        <v>3.2</v>
      </c>
      <c r="C14">
        <v>0.52800000000000002</v>
      </c>
      <c r="D14">
        <v>0.01</v>
      </c>
      <c r="E14">
        <v>0</v>
      </c>
      <c r="F14">
        <v>0.245</v>
      </c>
      <c r="G14">
        <v>0.22600000000000001</v>
      </c>
      <c r="H14">
        <v>0</v>
      </c>
      <c r="J14" s="9"/>
    </row>
    <row r="15" spans="1:10" x14ac:dyDescent="0.2">
      <c r="A15" s="4" t="s">
        <v>44</v>
      </c>
      <c r="B15">
        <v>24.1</v>
      </c>
      <c r="C15">
        <v>0.01</v>
      </c>
      <c r="D15">
        <v>0</v>
      </c>
      <c r="E15">
        <v>0</v>
      </c>
      <c r="F15">
        <v>3.4000000000000002E-2</v>
      </c>
      <c r="G15">
        <v>0</v>
      </c>
      <c r="H15">
        <v>0</v>
      </c>
      <c r="J15" s="9"/>
    </row>
    <row r="16" spans="1:10" x14ac:dyDescent="0.2">
      <c r="A16" s="4" t="s">
        <v>46</v>
      </c>
      <c r="B16">
        <v>3.9</v>
      </c>
      <c r="C16">
        <v>0.35299999999999998</v>
      </c>
      <c r="D16">
        <v>0</v>
      </c>
      <c r="E16">
        <v>0</v>
      </c>
      <c r="F16">
        <v>7.0000000000000007E-2</v>
      </c>
      <c r="G16">
        <v>1.25</v>
      </c>
      <c r="H16">
        <v>0</v>
      </c>
      <c r="J16" s="9"/>
    </row>
    <row r="17" spans="1:10" x14ac:dyDescent="0.2">
      <c r="A17" s="4" t="s">
        <v>47</v>
      </c>
      <c r="B17">
        <v>2</v>
      </c>
      <c r="C17">
        <v>1E-3</v>
      </c>
      <c r="D17">
        <v>0</v>
      </c>
      <c r="E17">
        <v>0</v>
      </c>
      <c r="F17">
        <v>2.1999999999999999E-2</v>
      </c>
      <c r="G17">
        <v>0.45100000000000001</v>
      </c>
      <c r="H17">
        <v>0</v>
      </c>
      <c r="J17" s="9"/>
    </row>
    <row r="18" spans="1:10" x14ac:dyDescent="0.2">
      <c r="A18" s="4" t="s">
        <v>105</v>
      </c>
      <c r="B18">
        <v>24.1</v>
      </c>
      <c r="C18">
        <v>0.52800000000000002</v>
      </c>
      <c r="D18">
        <v>0.01</v>
      </c>
      <c r="E18">
        <v>1E-3</v>
      </c>
      <c r="F18">
        <v>0.34599999999999997</v>
      </c>
      <c r="G18">
        <v>1.25</v>
      </c>
      <c r="H18">
        <v>0</v>
      </c>
      <c r="J18" s="9"/>
    </row>
    <row r="19" spans="1:10" x14ac:dyDescent="0.2">
      <c r="A19" s="4" t="s">
        <v>56</v>
      </c>
      <c r="B19">
        <v>0.05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J19" s="9"/>
    </row>
    <row r="20" spans="1:10" x14ac:dyDescent="0.2">
      <c r="A20" s="2" t="s">
        <v>39</v>
      </c>
      <c r="B20">
        <v>81.599999999999994</v>
      </c>
      <c r="C20">
        <v>1.39</v>
      </c>
      <c r="D20">
        <v>0</v>
      </c>
      <c r="E20">
        <v>0</v>
      </c>
      <c r="F20">
        <v>23.2</v>
      </c>
      <c r="G20">
        <v>1.71</v>
      </c>
      <c r="H20">
        <v>0</v>
      </c>
      <c r="J20" s="9"/>
    </row>
    <row r="21" spans="1:10" x14ac:dyDescent="0.2">
      <c r="A21" s="4" t="s">
        <v>40</v>
      </c>
      <c r="B21">
        <v>81.599999999999994</v>
      </c>
      <c r="C21">
        <v>2.5299999999999998</v>
      </c>
      <c r="D21">
        <v>1.88</v>
      </c>
      <c r="E21">
        <v>1E-3</v>
      </c>
      <c r="F21">
        <v>23.2</v>
      </c>
      <c r="G21">
        <v>1.71</v>
      </c>
      <c r="H21">
        <v>0.16200000000000001</v>
      </c>
      <c r="J21" s="9"/>
    </row>
    <row r="22" spans="1:10" x14ac:dyDescent="0.2">
      <c r="A22" s="3" t="s">
        <v>20</v>
      </c>
      <c r="B22">
        <v>16.399999999999999</v>
      </c>
      <c r="C22">
        <v>0</v>
      </c>
      <c r="D22">
        <v>0</v>
      </c>
      <c r="E22">
        <v>0</v>
      </c>
      <c r="F22">
        <v>1.38</v>
      </c>
      <c r="G22">
        <v>0</v>
      </c>
      <c r="H22">
        <v>0</v>
      </c>
      <c r="J22" s="9"/>
    </row>
    <row r="23" spans="1:10" x14ac:dyDescent="0.2">
      <c r="A23" s="3" t="s">
        <v>21</v>
      </c>
      <c r="B23">
        <v>10.8</v>
      </c>
      <c r="C23">
        <v>0.39300000000000002</v>
      </c>
      <c r="D23">
        <v>0.35899999999999999</v>
      </c>
      <c r="E23">
        <v>1E-3</v>
      </c>
      <c r="F23">
        <v>0.252</v>
      </c>
      <c r="G23">
        <v>4.2999999999999997E-2</v>
      </c>
      <c r="H23">
        <v>0</v>
      </c>
      <c r="J23" s="9"/>
    </row>
    <row r="24" spans="1:10" x14ac:dyDescent="0.2">
      <c r="A24" s="3" t="s">
        <v>22</v>
      </c>
      <c r="B24">
        <v>15.1</v>
      </c>
      <c r="C24">
        <v>2.5299999999999998</v>
      </c>
      <c r="D24">
        <v>1.88</v>
      </c>
      <c r="E24">
        <v>0</v>
      </c>
      <c r="F24">
        <v>2.2000000000000002</v>
      </c>
      <c r="G24">
        <v>0.19600000000000001</v>
      </c>
      <c r="H24">
        <v>2.4E-2</v>
      </c>
      <c r="J24" s="9"/>
    </row>
    <row r="25" spans="1:10" x14ac:dyDescent="0.2">
      <c r="A25" s="3" t="s">
        <v>23</v>
      </c>
      <c r="B25">
        <v>10</v>
      </c>
      <c r="C25">
        <v>0.52200000000000002</v>
      </c>
      <c r="D25">
        <v>0.33200000000000002</v>
      </c>
      <c r="E25">
        <v>0</v>
      </c>
      <c r="F25">
        <v>0.54400000000000004</v>
      </c>
      <c r="G25">
        <v>5.5E-2</v>
      </c>
      <c r="H25">
        <v>0</v>
      </c>
      <c r="J25" s="9"/>
    </row>
    <row r="26" spans="1:10" x14ac:dyDescent="0.2">
      <c r="A26" s="3" t="s">
        <v>24</v>
      </c>
      <c r="B26">
        <v>13.2</v>
      </c>
      <c r="C26">
        <v>0</v>
      </c>
      <c r="D26">
        <v>0</v>
      </c>
      <c r="E26">
        <v>0</v>
      </c>
      <c r="F26">
        <v>0.68500000000000005</v>
      </c>
      <c r="G26">
        <v>1.4E-2</v>
      </c>
      <c r="H26">
        <v>0</v>
      </c>
      <c r="J26" s="9"/>
    </row>
    <row r="27" spans="1:10" x14ac:dyDescent="0.2">
      <c r="A27" s="3" t="s">
        <v>25</v>
      </c>
      <c r="B27">
        <v>25.6</v>
      </c>
      <c r="C27">
        <v>3.0000000000000001E-3</v>
      </c>
      <c r="D27">
        <v>1E-3</v>
      </c>
      <c r="E27">
        <v>0</v>
      </c>
      <c r="F27">
        <v>0.99099999999999999</v>
      </c>
      <c r="G27">
        <v>4.0000000000000001E-3</v>
      </c>
      <c r="H27">
        <v>0</v>
      </c>
      <c r="J27" s="9"/>
    </row>
    <row r="28" spans="1:10" x14ac:dyDescent="0.2">
      <c r="A28" s="3" t="s">
        <v>26</v>
      </c>
      <c r="B28">
        <v>38.4</v>
      </c>
      <c r="C28">
        <v>5.0000000000000001E-3</v>
      </c>
      <c r="D28">
        <v>0</v>
      </c>
      <c r="E28">
        <v>1E-3</v>
      </c>
      <c r="F28">
        <v>0.998</v>
      </c>
      <c r="G28">
        <v>5.0000000000000001E-3</v>
      </c>
      <c r="H28">
        <v>0</v>
      </c>
      <c r="J28" s="9"/>
    </row>
    <row r="29" spans="1:10" x14ac:dyDescent="0.2">
      <c r="A29" s="3" t="s">
        <v>27</v>
      </c>
      <c r="B29">
        <v>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 s="9"/>
    </row>
    <row r="30" spans="1:10" x14ac:dyDescent="0.2">
      <c r="A30" s="3" t="s">
        <v>28</v>
      </c>
      <c r="B30">
        <v>19.7</v>
      </c>
      <c r="C30">
        <v>4.0000000000000001E-3</v>
      </c>
      <c r="D30">
        <v>0</v>
      </c>
      <c r="E30">
        <v>1E-3</v>
      </c>
      <c r="F30">
        <v>0.94499999999999995</v>
      </c>
      <c r="G30">
        <v>2E-3</v>
      </c>
      <c r="H30">
        <v>0</v>
      </c>
      <c r="J30" s="9"/>
    </row>
    <row r="31" spans="1:10" x14ac:dyDescent="0.2">
      <c r="A31" s="3" t="s">
        <v>29</v>
      </c>
      <c r="B31">
        <v>18.399999999999999</v>
      </c>
      <c r="C31">
        <v>6.0000000000000001E-3</v>
      </c>
      <c r="D31">
        <v>0</v>
      </c>
      <c r="E31">
        <v>1E-3</v>
      </c>
      <c r="F31">
        <v>1.03</v>
      </c>
      <c r="G31">
        <v>2E-3</v>
      </c>
      <c r="H31">
        <v>0</v>
      </c>
      <c r="J31" s="9"/>
    </row>
    <row r="32" spans="1:10" x14ac:dyDescent="0.2">
      <c r="A32" s="3" t="s">
        <v>30</v>
      </c>
      <c r="B32">
        <v>9.1999999999999993</v>
      </c>
      <c r="C32">
        <v>1E-3</v>
      </c>
      <c r="D32">
        <v>0</v>
      </c>
      <c r="E32">
        <v>0</v>
      </c>
      <c r="F32">
        <v>0.629</v>
      </c>
      <c r="G32">
        <v>0</v>
      </c>
      <c r="H32">
        <v>0</v>
      </c>
      <c r="J32" s="9"/>
    </row>
    <row r="33" spans="1:10" x14ac:dyDescent="0.2">
      <c r="A33" s="3" t="s">
        <v>31</v>
      </c>
      <c r="B33">
        <v>18</v>
      </c>
      <c r="C33">
        <v>1.2999999999999999E-2</v>
      </c>
      <c r="D33">
        <v>0</v>
      </c>
      <c r="E33">
        <v>0</v>
      </c>
      <c r="F33">
        <v>0.84611999999999998</v>
      </c>
      <c r="G33">
        <v>0</v>
      </c>
      <c r="H33">
        <v>0.16200000000000001</v>
      </c>
      <c r="J33" s="9"/>
    </row>
    <row r="34" spans="1:10" x14ac:dyDescent="0.2">
      <c r="A34" s="3" t="s">
        <v>32</v>
      </c>
      <c r="B34">
        <v>17.100000000000001</v>
      </c>
      <c r="C34">
        <v>1.7000000000000001E-2</v>
      </c>
      <c r="D34">
        <v>0</v>
      </c>
      <c r="E34">
        <v>0</v>
      </c>
      <c r="F34">
        <v>0.03</v>
      </c>
      <c r="G34">
        <v>5.0999999999999997E-2</v>
      </c>
      <c r="H34">
        <v>0</v>
      </c>
      <c r="J34" s="9"/>
    </row>
    <row r="35" spans="1:10" x14ac:dyDescent="0.2">
      <c r="A35" s="3" t="s">
        <v>33</v>
      </c>
      <c r="B35">
        <v>17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 s="9"/>
    </row>
    <row r="36" spans="1:10" x14ac:dyDescent="0.2">
      <c r="A36" s="3" t="s">
        <v>34</v>
      </c>
      <c r="B36">
        <v>16.899999999999999</v>
      </c>
      <c r="C36">
        <v>0.21199999999999999</v>
      </c>
      <c r="D36">
        <v>0</v>
      </c>
      <c r="E36">
        <v>0</v>
      </c>
      <c r="F36">
        <v>0.78300000000000003</v>
      </c>
      <c r="G36">
        <v>1.2999999999999999E-2</v>
      </c>
      <c r="H36">
        <v>0</v>
      </c>
      <c r="J36" s="9"/>
    </row>
    <row r="37" spans="1:10" x14ac:dyDescent="0.2">
      <c r="A37" s="3" t="s">
        <v>35</v>
      </c>
      <c r="B37">
        <v>27.9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J37" s="9"/>
    </row>
    <row r="38" spans="1:10" x14ac:dyDescent="0.2">
      <c r="A38" s="3" t="s">
        <v>36</v>
      </c>
      <c r="B38">
        <v>18.2</v>
      </c>
      <c r="C38">
        <v>0</v>
      </c>
      <c r="D38">
        <v>0</v>
      </c>
      <c r="E38">
        <v>0</v>
      </c>
      <c r="F38">
        <v>3.9E-2</v>
      </c>
      <c r="G38">
        <v>0.89</v>
      </c>
      <c r="H38">
        <v>0</v>
      </c>
      <c r="J38" s="9"/>
    </row>
    <row r="39" spans="1:10" x14ac:dyDescent="0.2">
      <c r="A39" s="3" t="s">
        <v>37</v>
      </c>
      <c r="B39">
        <v>11.7</v>
      </c>
      <c r="C39">
        <v>0.42</v>
      </c>
      <c r="D39">
        <v>0</v>
      </c>
      <c r="E39">
        <v>0</v>
      </c>
      <c r="F39">
        <v>4.2999999999999997E-2</v>
      </c>
      <c r="G39">
        <v>0.247</v>
      </c>
      <c r="H39">
        <v>0</v>
      </c>
      <c r="J39" s="9"/>
    </row>
    <row r="40" spans="1:10" x14ac:dyDescent="0.2">
      <c r="A40" s="3" t="s">
        <v>38</v>
      </c>
      <c r="B40">
        <v>10.1</v>
      </c>
      <c r="C40">
        <v>0</v>
      </c>
      <c r="D40">
        <v>0</v>
      </c>
      <c r="E40">
        <v>0</v>
      </c>
      <c r="F40">
        <v>0.21199999999999999</v>
      </c>
      <c r="G40">
        <v>0.42299999999999999</v>
      </c>
      <c r="H40">
        <v>0</v>
      </c>
      <c r="J40" s="9"/>
    </row>
    <row r="41" spans="1:10" s="27" customFormat="1" x14ac:dyDescent="0.2">
      <c r="A41" s="27" t="s">
        <v>106</v>
      </c>
      <c r="B41">
        <v>81.599999999999994</v>
      </c>
      <c r="C41">
        <v>2.5299999999999998</v>
      </c>
      <c r="D41">
        <v>1.88</v>
      </c>
      <c r="E41">
        <v>1E-3</v>
      </c>
      <c r="F41">
        <v>23.2</v>
      </c>
      <c r="G41">
        <v>1.71</v>
      </c>
      <c r="H41">
        <v>0.16200000000000001</v>
      </c>
    </row>
  </sheetData>
  <sheetProtection algorithmName="SHA-512" hashValue="CwfqgYm4oa+nR4VfAZVvzxwJrAXmFwsq2hVDfNBvf6DM9UUtIr689L+tvn4GP5mD660D3X4yD/8moggb5KDjxg==" saltValue="g32ggr/copcJsDy6P4KseQ==" spinCount="100000" sheet="1" objects="1" scenarios="1"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Welding</vt:lpstr>
      <vt:lpstr>Permit Limits</vt:lpstr>
      <vt:lpstr>INV-3</vt:lpstr>
      <vt:lpstr>Process Emissions</vt:lpstr>
      <vt:lpstr>EF's</vt:lpstr>
      <vt:lpstr>'INV-3'!Print_Area</vt:lpstr>
      <vt:lpstr>'Process Emissions'!Print_Area</vt:lpstr>
    </vt:vector>
  </TitlesOfParts>
  <Company>iwrc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Gedlinske</dc:creator>
  <cp:lastModifiedBy>Jennifer L Wittenburg</cp:lastModifiedBy>
  <cp:lastPrinted>2011-02-02T17:31:48Z</cp:lastPrinted>
  <dcterms:created xsi:type="dcterms:W3CDTF">1999-10-20T15:39:50Z</dcterms:created>
  <dcterms:modified xsi:type="dcterms:W3CDTF">2022-12-16T21:07:49Z</dcterms:modified>
</cp:coreProperties>
</file>