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witt\Desktop\"/>
    </mc:Choice>
  </mc:AlternateContent>
  <bookViews>
    <workbookView xWindow="0" yWindow="0" windowWidth="19200" windowHeight="11460"/>
  </bookViews>
  <sheets>
    <sheet name="Facility Information" sheetId="1" r:id="rId1"/>
    <sheet name="Facility Processes" sheetId="2" r:id="rId2"/>
    <sheet name="Emission Calculations" sheetId="4" r:id="rId3"/>
    <sheet name="Facility Wide Emissions" sheetId="5" r:id="rId4"/>
    <sheet name="Emission Factors" sheetId="3" r:id="rId5"/>
  </sheets>
  <definedNames>
    <definedName name="apptype">'Facility Information'!$K$4:$K$5</definedName>
    <definedName name="aptype">'Facility Information'!$K$10:$K$11</definedName>
    <definedName name="CHS">'Facility Processes'!$A$9:$A$11</definedName>
    <definedName name="CHSCon">'Facility Processes'!$A$32:$A$33</definedName>
    <definedName name="CHSControl">'Emission Factors'!$A$26:$A$28</definedName>
    <definedName name="CISCon">'Facility Processes'!$A$32:$A$36</definedName>
    <definedName name="CleanHandleStore">'Emission Factors'!$A$7:$A$9</definedName>
    <definedName name="Combust">'Facility Processes'!$A$18:$A$19</definedName>
    <definedName name="Combustion">'Emission Factors'!$A$16:$A$17</definedName>
    <definedName name="Dryer">'Facility Processes'!$A$7:$A$8</definedName>
    <definedName name="Drying">'Emission Factors'!$A$5:$A$6</definedName>
    <definedName name="Employ">'Facility Information'!$K$7:$K$8</definedName>
    <definedName name="LCon">'Facility Processes'!$A$24:$A$30</definedName>
    <definedName name="LControl">'Facility Processes'!$A$24:$A$29</definedName>
    <definedName name="Load">'Facility Processes'!$A$12:$A$14</definedName>
    <definedName name="LoadCon">'Facility Processes'!$A$25:$A$30</definedName>
    <definedName name="Loading">'Facility Processes'!$A$13:$A$14</definedName>
    <definedName name="Loadout">'Emission Factors'!$A$10:$A$12</definedName>
    <definedName name="LoadoutControl">'Emission Factors'!#REF!</definedName>
    <definedName name="Oil">'Facility Processes'!$A$28:$A$29</definedName>
    <definedName name="OilCon">'Facility Processes'!$A$20:$A$21</definedName>
    <definedName name="RCon">'Facility Processes'!$A$23:$A$25</definedName>
    <definedName name="ReceivCon">'Facility Processes'!$A$24:$A$25</definedName>
    <definedName name="Receive">'Facility Processes'!$A$15:$A$17</definedName>
    <definedName name="ReceiveCon">'Facility Processes'!$A$24:$A$28</definedName>
    <definedName name="ReceiveControl">'Emission Factors'!#REF!</definedName>
    <definedName name="Receiving">'Emission Factors'!$A$13:$A$15</definedName>
    <definedName name="RoadCon">'Facility Processes'!$A$39</definedName>
  </definedNames>
  <calcPr calcId="162913"/>
</workbook>
</file>

<file path=xl/calcChain.xml><?xml version="1.0" encoding="utf-8"?>
<calcChain xmlns="http://schemas.openxmlformats.org/spreadsheetml/2006/main">
  <c r="N53" i="4" l="1"/>
  <c r="N52" i="4"/>
  <c r="N50" i="4"/>
  <c r="N49" i="4"/>
  <c r="N47" i="4"/>
  <c r="N46" i="4"/>
  <c r="N44" i="4"/>
  <c r="N43" i="4"/>
  <c r="N41" i="4"/>
  <c r="N40" i="4"/>
  <c r="N38" i="4"/>
  <c r="N37" i="4"/>
  <c r="N35" i="4"/>
  <c r="N34" i="4"/>
  <c r="A35" i="4"/>
  <c r="A34" i="4"/>
  <c r="F33" i="2" l="1"/>
  <c r="L28" i="4"/>
  <c r="L14" i="4"/>
  <c r="M14" i="4"/>
  <c r="L27" i="4"/>
  <c r="L13" i="4"/>
  <c r="L26" i="4"/>
  <c r="L12" i="4"/>
  <c r="L24" i="4"/>
  <c r="L25" i="4"/>
  <c r="L23" i="4"/>
  <c r="L9" i="4"/>
  <c r="L20" i="4"/>
  <c r="L19" i="4"/>
  <c r="L18" i="4"/>
  <c r="M18" i="4"/>
  <c r="L4" i="4"/>
  <c r="M4" i="4"/>
  <c r="L10" i="4"/>
  <c r="L11" i="4"/>
  <c r="L6" i="4"/>
  <c r="M6" i="4"/>
  <c r="L5" i="4"/>
  <c r="A48" i="2"/>
  <c r="A47" i="2"/>
  <c r="A44" i="2"/>
  <c r="A43" i="2"/>
  <c r="M28" i="4"/>
  <c r="E14" i="4"/>
  <c r="E28" i="4"/>
  <c r="D14" i="4"/>
  <c r="D13" i="4"/>
  <c r="D28" i="4"/>
  <c r="C28" i="4"/>
  <c r="B28" i="4"/>
  <c r="C34" i="2"/>
  <c r="C38" i="4"/>
  <c r="E43" i="2"/>
  <c r="E42" i="2"/>
  <c r="H14" i="4"/>
  <c r="N14" i="4" s="1"/>
  <c r="C37" i="1"/>
  <c r="M19" i="4"/>
  <c r="M5" i="4"/>
  <c r="N27" i="4"/>
  <c r="N13" i="4"/>
  <c r="H34" i="2"/>
  <c r="H33" i="2"/>
  <c r="F34" i="2"/>
  <c r="C33" i="2"/>
  <c r="C43" i="4"/>
  <c r="B33" i="2"/>
  <c r="B34" i="4"/>
  <c r="A36" i="1"/>
  <c r="A35" i="1"/>
  <c r="A34" i="1"/>
  <c r="A33" i="1"/>
  <c r="A32" i="1"/>
  <c r="G31" i="2" s="1"/>
  <c r="H12" i="2"/>
  <c r="G5" i="2"/>
  <c r="G18" i="2"/>
  <c r="O27" i="4"/>
  <c r="K27" i="4"/>
  <c r="O50" i="4"/>
  <c r="O53" i="4"/>
  <c r="K53" i="4"/>
  <c r="K50" i="4"/>
  <c r="E50" i="4"/>
  <c r="F49" i="4"/>
  <c r="H50" i="4"/>
  <c r="J53" i="4"/>
  <c r="J52" i="4"/>
  <c r="J50" i="4"/>
  <c r="J49" i="4"/>
  <c r="J46" i="4"/>
  <c r="I53" i="4"/>
  <c r="H53" i="4"/>
  <c r="G53" i="4"/>
  <c r="F53" i="4"/>
  <c r="E53" i="4"/>
  <c r="D52" i="4"/>
  <c r="E52" i="4"/>
  <c r="F52" i="4"/>
  <c r="H52" i="4"/>
  <c r="O52" i="4"/>
  <c r="D26" i="5" s="1"/>
  <c r="I50" i="4"/>
  <c r="I47" i="4"/>
  <c r="G50" i="4"/>
  <c r="F50" i="4"/>
  <c r="F46" i="4"/>
  <c r="B53" i="4"/>
  <c r="C53" i="4"/>
  <c r="D53" i="4"/>
  <c r="D50" i="4"/>
  <c r="D49" i="4"/>
  <c r="E49" i="4"/>
  <c r="D46" i="4"/>
  <c r="I46" i="4"/>
  <c r="H46" i="4"/>
  <c r="O46" i="4"/>
  <c r="C50" i="4"/>
  <c r="B50" i="4"/>
  <c r="I44" i="4"/>
  <c r="I41" i="4"/>
  <c r="I38" i="4"/>
  <c r="I35" i="4"/>
  <c r="O47" i="4"/>
  <c r="D24" i="5" s="1"/>
  <c r="K47" i="4"/>
  <c r="J47" i="4"/>
  <c r="H47" i="4"/>
  <c r="G47" i="4"/>
  <c r="F47" i="4"/>
  <c r="E47" i="4"/>
  <c r="D47" i="4"/>
  <c r="C47" i="4"/>
  <c r="B47" i="4"/>
  <c r="H44" i="4"/>
  <c r="J44" i="4" s="1"/>
  <c r="O44" i="4"/>
  <c r="H35" i="4"/>
  <c r="J35" i="4" s="1"/>
  <c r="H41" i="4"/>
  <c r="J41" i="4" s="1"/>
  <c r="H38" i="4"/>
  <c r="J38" i="4" s="1"/>
  <c r="B34" i="2"/>
  <c r="B44" i="4"/>
  <c r="B41" i="4"/>
  <c r="F44" i="4"/>
  <c r="F43" i="4"/>
  <c r="D44" i="4"/>
  <c r="E44" i="4"/>
  <c r="D43" i="4"/>
  <c r="H43" i="4"/>
  <c r="J43" i="4" s="1"/>
  <c r="F41" i="4"/>
  <c r="F40" i="4"/>
  <c r="E41" i="4"/>
  <c r="D41" i="4"/>
  <c r="D40" i="4"/>
  <c r="H40" i="4"/>
  <c r="J40" i="4" s="1"/>
  <c r="I43" i="4"/>
  <c r="F38" i="4"/>
  <c r="F37" i="4"/>
  <c r="D38" i="4"/>
  <c r="D37" i="4"/>
  <c r="I40" i="4"/>
  <c r="C41" i="4"/>
  <c r="E46" i="4"/>
  <c r="I52" i="4"/>
  <c r="C44" i="4"/>
  <c r="K38" i="4"/>
  <c r="O38" i="4"/>
  <c r="K41" i="4"/>
  <c r="O41" i="4"/>
  <c r="K44" i="4"/>
  <c r="G35" i="4"/>
  <c r="G38" i="4"/>
  <c r="G41" i="4"/>
  <c r="G44" i="4"/>
  <c r="E38" i="4"/>
  <c r="E43" i="4"/>
  <c r="E40" i="4"/>
  <c r="F35" i="4"/>
  <c r="G18" i="4"/>
  <c r="F34" i="4"/>
  <c r="F18" i="4"/>
  <c r="D35" i="4"/>
  <c r="D34" i="4"/>
  <c r="I37" i="4"/>
  <c r="D18" i="4"/>
  <c r="E18" i="4"/>
  <c r="B18" i="4"/>
  <c r="H34" i="4"/>
  <c r="J34" i="4" s="1"/>
  <c r="O34" i="4"/>
  <c r="I34" i="4"/>
  <c r="E35" i="4"/>
  <c r="E34" i="4"/>
  <c r="M27" i="4"/>
  <c r="G27" i="4"/>
  <c r="F27" i="4"/>
  <c r="G26" i="4"/>
  <c r="F26" i="4"/>
  <c r="D27" i="4"/>
  <c r="H27" i="4"/>
  <c r="J27" i="4" s="1"/>
  <c r="D26" i="4"/>
  <c r="H26" i="4"/>
  <c r="B27" i="4"/>
  <c r="C27" i="4"/>
  <c r="C26" i="4"/>
  <c r="B26" i="4"/>
  <c r="M13" i="4"/>
  <c r="O23" i="4"/>
  <c r="G13" i="4"/>
  <c r="G12" i="4"/>
  <c r="G9" i="4"/>
  <c r="F13" i="4"/>
  <c r="F12" i="4"/>
  <c r="F9" i="4"/>
  <c r="H13" i="4"/>
  <c r="J13" i="4" s="1"/>
  <c r="D12" i="4"/>
  <c r="H12" i="4"/>
  <c r="I12" i="4" s="1"/>
  <c r="D9" i="4"/>
  <c r="H9" i="4"/>
  <c r="I9" i="4" s="1"/>
  <c r="C13" i="4"/>
  <c r="C12" i="4"/>
  <c r="B13" i="4"/>
  <c r="B12" i="4"/>
  <c r="B11" i="4"/>
  <c r="G22" i="4"/>
  <c r="G21" i="4"/>
  <c r="G7" i="4"/>
  <c r="G19" i="4"/>
  <c r="G20" i="4"/>
  <c r="G4" i="4"/>
  <c r="F22" i="4"/>
  <c r="F21" i="4"/>
  <c r="F7" i="4"/>
  <c r="F19" i="4"/>
  <c r="F20" i="4"/>
  <c r="F4" i="4"/>
  <c r="D21" i="4"/>
  <c r="E21" i="4"/>
  <c r="D22" i="4"/>
  <c r="E22" i="4"/>
  <c r="H22" i="4"/>
  <c r="J22" i="4" s="1"/>
  <c r="D7" i="4"/>
  <c r="E7" i="4"/>
  <c r="D19" i="4"/>
  <c r="H19" i="4"/>
  <c r="I19" i="4" s="1"/>
  <c r="D20" i="4"/>
  <c r="H20" i="4"/>
  <c r="I20" i="4" s="1"/>
  <c r="D4" i="4"/>
  <c r="H4" i="4"/>
  <c r="I4" i="4" s="1"/>
  <c r="B22" i="4"/>
  <c r="C22" i="4"/>
  <c r="C21" i="4"/>
  <c r="B21" i="4"/>
  <c r="B7" i="4"/>
  <c r="C19" i="4"/>
  <c r="C20" i="4"/>
  <c r="C18" i="4"/>
  <c r="C4" i="4"/>
  <c r="B19" i="4"/>
  <c r="B20" i="4"/>
  <c r="B4" i="4"/>
  <c r="G8" i="4"/>
  <c r="F8" i="4"/>
  <c r="D8" i="4"/>
  <c r="H8" i="4"/>
  <c r="J8" i="4" s="1"/>
  <c r="C8" i="4"/>
  <c r="C7" i="4"/>
  <c r="B8" i="4"/>
  <c r="G5" i="4"/>
  <c r="G6" i="4"/>
  <c r="F5" i="4"/>
  <c r="F6" i="4"/>
  <c r="C6" i="4"/>
  <c r="B6" i="4"/>
  <c r="D6" i="4"/>
  <c r="H6" i="4"/>
  <c r="J6" i="4" s="1"/>
  <c r="D5" i="4"/>
  <c r="E5" i="4"/>
  <c r="C5" i="4"/>
  <c r="B5" i="4"/>
  <c r="B49" i="4"/>
  <c r="B46" i="4"/>
  <c r="B52" i="4"/>
  <c r="B43" i="4"/>
  <c r="C49" i="4"/>
  <c r="C52" i="4"/>
  <c r="C46" i="4"/>
  <c r="K13" i="4"/>
  <c r="O13" i="4"/>
  <c r="E13" i="4"/>
  <c r="E27" i="4"/>
  <c r="O35" i="4"/>
  <c r="K35" i="4"/>
  <c r="E26" i="4"/>
  <c r="E9" i="4"/>
  <c r="E12" i="4"/>
  <c r="E4" i="4"/>
  <c r="E19" i="4"/>
  <c r="E8" i="4"/>
  <c r="H21" i="2"/>
  <c r="H22" i="2"/>
  <c r="H20" i="2"/>
  <c r="G52" i="4"/>
  <c r="G46" i="4"/>
  <c r="G49" i="4"/>
  <c r="G43" i="4"/>
  <c r="G40" i="4"/>
  <c r="G37" i="4"/>
  <c r="G34" i="4"/>
  <c r="G24" i="4"/>
  <c r="G25" i="4"/>
  <c r="G23" i="4"/>
  <c r="F24" i="4"/>
  <c r="F25" i="4"/>
  <c r="F23" i="4"/>
  <c r="K23" i="4"/>
  <c r="D24" i="4"/>
  <c r="H24" i="4"/>
  <c r="I24" i="4" s="1"/>
  <c r="D25" i="4"/>
  <c r="E25" i="4"/>
  <c r="D23" i="4"/>
  <c r="E23" i="4"/>
  <c r="C24" i="4"/>
  <c r="C25" i="4"/>
  <c r="B24" i="4"/>
  <c r="B25" i="4"/>
  <c r="C23" i="4"/>
  <c r="C9" i="4"/>
  <c r="B23" i="4"/>
  <c r="B9" i="4"/>
  <c r="G10" i="4"/>
  <c r="G11" i="4"/>
  <c r="F10" i="4"/>
  <c r="F11" i="4"/>
  <c r="D10" i="4"/>
  <c r="E10" i="4"/>
  <c r="D11" i="4"/>
  <c r="H11" i="4"/>
  <c r="I11" i="4" s="1"/>
  <c r="C10" i="4"/>
  <c r="C11" i="4"/>
  <c r="B10" i="4"/>
  <c r="E33" i="1"/>
  <c r="E34" i="1"/>
  <c r="E35" i="1"/>
  <c r="E36" i="1"/>
  <c r="E32" i="1"/>
  <c r="E24" i="4"/>
  <c r="H23" i="4"/>
  <c r="I23" i="4" s="1"/>
  <c r="H28" i="4"/>
  <c r="G28" i="4" s="1"/>
  <c r="E44" i="2"/>
  <c r="E45" i="2"/>
  <c r="K34" i="4"/>
  <c r="K46" i="4"/>
  <c r="M20" i="4"/>
  <c r="B37" i="4"/>
  <c r="B40" i="4"/>
  <c r="B38" i="4"/>
  <c r="B35" i="4"/>
  <c r="O40" i="4"/>
  <c r="D22" i="5" s="1"/>
  <c r="K40" i="4"/>
  <c r="D8" i="5"/>
  <c r="O43" i="4"/>
  <c r="D23" i="5" s="1"/>
  <c r="K43" i="4"/>
  <c r="H49" i="4"/>
  <c r="H37" i="4"/>
  <c r="J37" i="4" s="1"/>
  <c r="K52" i="4"/>
  <c r="D12" i="5"/>
  <c r="E37" i="4"/>
  <c r="I49" i="4"/>
  <c r="I26" i="4"/>
  <c r="K26" i="4"/>
  <c r="N26" i="4"/>
  <c r="O26" i="4"/>
  <c r="K12" i="4"/>
  <c r="N12" i="4"/>
  <c r="O12" i="4"/>
  <c r="O11" i="4"/>
  <c r="N11" i="4"/>
  <c r="K11" i="4"/>
  <c r="M11" i="4"/>
  <c r="E11" i="4"/>
  <c r="H25" i="4"/>
  <c r="J25" i="4" s="1"/>
  <c r="K24" i="4"/>
  <c r="M24" i="4"/>
  <c r="O24" i="4"/>
  <c r="N24" i="4"/>
  <c r="H10" i="4"/>
  <c r="I10" i="4" s="1"/>
  <c r="M23" i="4"/>
  <c r="N9" i="4"/>
  <c r="O9" i="4"/>
  <c r="K9" i="4"/>
  <c r="M9" i="4"/>
  <c r="J23" i="4"/>
  <c r="N23" i="4"/>
  <c r="K20" i="4"/>
  <c r="N20" i="4"/>
  <c r="O20" i="4"/>
  <c r="K6" i="4"/>
  <c r="N6" i="4"/>
  <c r="O6" i="4"/>
  <c r="E6" i="4"/>
  <c r="E20" i="4"/>
  <c r="K8" i="4"/>
  <c r="N8" i="4"/>
  <c r="K22" i="4"/>
  <c r="N22" i="4"/>
  <c r="H21" i="4"/>
  <c r="J21" i="4" s="1"/>
  <c r="H7" i="4"/>
  <c r="I7" i="4" s="1"/>
  <c r="O19" i="4"/>
  <c r="K19" i="4"/>
  <c r="H5" i="4"/>
  <c r="K4" i="4"/>
  <c r="O4" i="4"/>
  <c r="H18" i="4"/>
  <c r="J18" i="4" s="1"/>
  <c r="C37" i="4"/>
  <c r="C34" i="4"/>
  <c r="J26" i="4"/>
  <c r="M7" i="4"/>
  <c r="K49" i="4"/>
  <c r="O49" i="4"/>
  <c r="D25" i="5" s="1"/>
  <c r="O37" i="4"/>
  <c r="D21" i="5" s="1"/>
  <c r="K37" i="4"/>
  <c r="M26" i="4"/>
  <c r="M12" i="4"/>
  <c r="O25" i="4"/>
  <c r="K25" i="4"/>
  <c r="M25" i="4"/>
  <c r="N25" i="4"/>
  <c r="O10" i="4"/>
  <c r="K10" i="4"/>
  <c r="M10" i="4"/>
  <c r="N10" i="4"/>
  <c r="K7" i="4"/>
  <c r="N7" i="4"/>
  <c r="K21" i="4"/>
  <c r="N21" i="4"/>
  <c r="J5" i="4"/>
  <c r="O5" i="4"/>
  <c r="K5" i="4"/>
  <c r="N5" i="4"/>
  <c r="I5" i="4"/>
  <c r="K18" i="4"/>
  <c r="N18" i="4"/>
  <c r="O18" i="4"/>
  <c r="O22" i="4"/>
  <c r="M22" i="4"/>
  <c r="O8" i="4"/>
  <c r="M8" i="4"/>
  <c r="O7" i="4"/>
  <c r="O21" i="4"/>
  <c r="M21" i="4"/>
  <c r="N4" i="4"/>
  <c r="N19" i="4"/>
  <c r="C40" i="4"/>
  <c r="C35" i="4"/>
  <c r="A45" i="2" l="1"/>
  <c r="L7" i="4" s="1"/>
  <c r="J14" i="4"/>
  <c r="J4" i="4"/>
  <c r="I14" i="4"/>
  <c r="I28" i="4"/>
  <c r="G14" i="4"/>
  <c r="K14" i="4"/>
  <c r="D27" i="5"/>
  <c r="I21" i="4"/>
  <c r="O14" i="4"/>
  <c r="D7" i="5"/>
  <c r="F21" i="5" s="1"/>
  <c r="D11" i="5"/>
  <c r="D13" i="5" s="1"/>
  <c r="F27" i="5" s="1"/>
  <c r="F14" i="4"/>
  <c r="A49" i="2"/>
  <c r="L22" i="4" s="1"/>
  <c r="L21" i="4"/>
  <c r="D10" i="5"/>
  <c r="F24" i="5" s="1"/>
  <c r="I8" i="4"/>
  <c r="D6" i="5"/>
  <c r="F26" i="5"/>
  <c r="I13" i="4"/>
  <c r="J11" i="4"/>
  <c r="I27" i="4"/>
  <c r="J7" i="4"/>
  <c r="D20" i="5"/>
  <c r="J20" i="4"/>
  <c r="J12" i="4"/>
  <c r="J24" i="4"/>
  <c r="N28" i="4"/>
  <c r="N29" i="4" s="1"/>
  <c r="I25" i="4"/>
  <c r="I6" i="4"/>
  <c r="J10" i="4"/>
  <c r="O15" i="4"/>
  <c r="D18" i="5" s="1"/>
  <c r="I22" i="4"/>
  <c r="I18" i="4"/>
  <c r="F28" i="4"/>
  <c r="J9" i="4"/>
  <c r="J28" i="4"/>
  <c r="J19" i="4"/>
  <c r="K28" i="4"/>
  <c r="O28" i="4"/>
  <c r="O29" i="4" s="1"/>
  <c r="D19" i="5" s="1"/>
  <c r="F19" i="5" s="1"/>
  <c r="F22" i="5"/>
  <c r="H38" i="1"/>
  <c r="G25" i="2"/>
  <c r="H39" i="2"/>
  <c r="I39" i="2"/>
  <c r="D9" i="5"/>
  <c r="F23" i="5" s="1"/>
  <c r="N15" i="4"/>
  <c r="D4" i="5" s="1"/>
  <c r="F18" i="5" s="1"/>
  <c r="F25" i="5" l="1"/>
  <c r="L8" i="4"/>
  <c r="F20" i="5"/>
</calcChain>
</file>

<file path=xl/comments1.xml><?xml version="1.0" encoding="utf-8"?>
<comments xmlns="http://schemas.openxmlformats.org/spreadsheetml/2006/main">
  <authors>
    <author>Jennifer Wittenburg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AP-42 Tables may be found on the Emission Factors Tab.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<sst xmlns="http://schemas.openxmlformats.org/spreadsheetml/2006/main" count="372" uniqueCount="178">
  <si>
    <t>GROUP 2 GRAIN ELEVATOR</t>
  </si>
  <si>
    <t>FACILITY NUMBER:</t>
  </si>
  <si>
    <t>MAILING ADDRESS:</t>
  </si>
  <si>
    <t>FACILITY CONTACT:</t>
  </si>
  <si>
    <t>PHONE NUMBER:</t>
  </si>
  <si>
    <t>FACILITY NAME:</t>
  </si>
  <si>
    <t>SIC CODE:</t>
  </si>
  <si>
    <t>NAICS CODE:</t>
  </si>
  <si>
    <t>ACTIVITY DESCRIPTION:</t>
  </si>
  <si>
    <t>Grain and Field Beans</t>
  </si>
  <si>
    <t>Year</t>
  </si>
  <si>
    <t>Process</t>
  </si>
  <si>
    <t>Emission Point #</t>
  </si>
  <si>
    <t>Emission Unit #</t>
  </si>
  <si>
    <t>Storage Bin</t>
  </si>
  <si>
    <t>Internal Handling</t>
  </si>
  <si>
    <t>Grain Cleaner</t>
  </si>
  <si>
    <t>ELEVATOR THROUGHPUT RECORDS</t>
  </si>
  <si>
    <t>Receiving (Rail)</t>
  </si>
  <si>
    <t>Grain Dryer (Rack)</t>
  </si>
  <si>
    <t>Grain Dryer (Column)</t>
  </si>
  <si>
    <t>Loadout (Truck)</t>
  </si>
  <si>
    <t>Loadout (Rail)</t>
  </si>
  <si>
    <t>Loadout (Barge)</t>
  </si>
  <si>
    <t>Corn (bushels)</t>
  </si>
  <si>
    <t>Soybeans (bushels)</t>
  </si>
  <si>
    <t>Other (tons)</t>
  </si>
  <si>
    <t>Total (tons)</t>
  </si>
  <si>
    <t>Bin Vent Filters</t>
  </si>
  <si>
    <t>Telescoping Sock on Loadout</t>
  </si>
  <si>
    <t>Control Equipment</t>
  </si>
  <si>
    <t>Units</t>
  </si>
  <si>
    <t>lbs/ton</t>
  </si>
  <si>
    <t>Receiving (Hopper Truck)</t>
  </si>
  <si>
    <t>Receiving (Straight Truck)</t>
  </si>
  <si>
    <t>SO2</t>
  </si>
  <si>
    <t>Nox</t>
  </si>
  <si>
    <t>VOC</t>
  </si>
  <si>
    <t>CO</t>
  </si>
  <si>
    <t>Ammonia</t>
  </si>
  <si>
    <t>Hexane</t>
  </si>
  <si>
    <t>Formaldehyde</t>
  </si>
  <si>
    <t>lb/mmcf</t>
  </si>
  <si>
    <t>Natural Gas Combustion</t>
  </si>
  <si>
    <t>SCC #</t>
  </si>
  <si>
    <t>Efficiency</t>
  </si>
  <si>
    <t>Bagfilter</t>
  </si>
  <si>
    <t>Cyclone</t>
  </si>
  <si>
    <t xml:space="preserve">Enter the amount of each material which passed through the facilities' scale for the past 5 years. </t>
  </si>
  <si>
    <t>Max Design Rate</t>
  </si>
  <si>
    <t>EP</t>
  </si>
  <si>
    <t>EU</t>
  </si>
  <si>
    <t>Description of Process</t>
  </si>
  <si>
    <t>Emission Factor</t>
  </si>
  <si>
    <t>Potential Annual Emissions (tons/yr)</t>
  </si>
  <si>
    <t>Potential Hourly Controlled (lb/hr)</t>
  </si>
  <si>
    <t>Potential Hourly Uncontrolled (lb/hr)</t>
  </si>
  <si>
    <t>Control Efficiency</t>
  </si>
  <si>
    <t>PM2. 5</t>
  </si>
  <si>
    <t>PM10</t>
  </si>
  <si>
    <t>Actual Emissions (tons/yr)</t>
  </si>
  <si>
    <t>FACILITY-WIDE POTENTIAL EMISSIONS:</t>
  </si>
  <si>
    <t>FACILITY-WIDE ACTUAL EMISSIONS:</t>
  </si>
  <si>
    <t>Air Pollutant</t>
  </si>
  <si>
    <t>ID or CAS Number</t>
  </si>
  <si>
    <t>Tons/Yr</t>
  </si>
  <si>
    <t>PM-2.5</t>
  </si>
  <si>
    <t>PM-10</t>
  </si>
  <si>
    <t>7446-09-5</t>
  </si>
  <si>
    <t>NOx</t>
  </si>
  <si>
    <t>630-08-0</t>
  </si>
  <si>
    <t>50-00-0</t>
  </si>
  <si>
    <t>Total HAP</t>
  </si>
  <si>
    <t>Receiving</t>
  </si>
  <si>
    <t>Loadout</t>
  </si>
  <si>
    <t>Grain Dryer</t>
  </si>
  <si>
    <t>FACILITY TOTALS:</t>
  </si>
  <si>
    <t>Note: Group 2 Grain Elevators are limited to 50 tons/yr PM10</t>
  </si>
  <si>
    <t>Cleaning,Internal Handling, Storage Bins</t>
  </si>
  <si>
    <t>mmcf</t>
  </si>
  <si>
    <t>1000 Gal</t>
  </si>
  <si>
    <t>Propane Combustion</t>
  </si>
  <si>
    <t>lb/1000 gal</t>
  </si>
  <si>
    <t>110-54-3</t>
  </si>
  <si>
    <t>EMISSION YEAR:</t>
  </si>
  <si>
    <t>FACILITY ADDRESS:</t>
  </si>
  <si>
    <t>IA</t>
  </si>
  <si>
    <t>STATE:</t>
  </si>
  <si>
    <t>CITY:</t>
  </si>
  <si>
    <t>EMAIL ADDRESS:</t>
  </si>
  <si>
    <t>ZIP:</t>
  </si>
  <si>
    <t>PARENT COMPANY:</t>
  </si>
  <si>
    <t>PARENT COMPANY ADDRESS:</t>
  </si>
  <si>
    <t>PARENT COMPANY CONTACT:</t>
  </si>
  <si>
    <t>PLANT LOCATION:</t>
  </si>
  <si>
    <t>LATITUDE:</t>
  </si>
  <si>
    <t>LONGITUDE:</t>
  </si>
  <si>
    <t>Note:  Potential annual emissions are calculated using the highest grain throughput from the last five years multiplied by 1.2. (IAC 567-22.10(2)a):</t>
  </si>
  <si>
    <t>Conversions:</t>
  </si>
  <si>
    <t>56 pounds per bushel (corn)</t>
  </si>
  <si>
    <t>60 pounds per bushel (soybeans)</t>
  </si>
  <si>
    <t>2000 pounds per ton</t>
  </si>
  <si>
    <t>Combined Maximum Hourly Design Rate for all Like Processes (tons/hr)</t>
  </si>
  <si>
    <t>Emission Unit Description</t>
  </si>
  <si>
    <t>Grain Dryer Combustion Fuels</t>
  </si>
  <si>
    <t>Units of Measure</t>
  </si>
  <si>
    <t>Source of E.F.</t>
  </si>
  <si>
    <t>Tons</t>
  </si>
  <si>
    <t>Combined Maximum Hourly Design Rate for all Like Processes</t>
  </si>
  <si>
    <t>Reference</t>
  </si>
  <si>
    <t>MSEI Instruction Booklet</t>
  </si>
  <si>
    <t>EMISSION FACTORS</t>
  </si>
  <si>
    <t>PM2.5</t>
  </si>
  <si>
    <t>NUMBER OF STATE-WIDE COMPANY EMPLOYEES:</t>
  </si>
  <si>
    <t>Less Than or Equal to 100</t>
  </si>
  <si>
    <t>Greater Than 100</t>
  </si>
  <si>
    <t>Unpaved Haul Roads</t>
  </si>
  <si>
    <t>Unpaved Haul Road</t>
  </si>
  <si>
    <t>Average Vehicle Weight (tons)</t>
  </si>
  <si>
    <t>Empty (Unloaded)</t>
  </si>
  <si>
    <t>Full (Loaded)</t>
  </si>
  <si>
    <t>Annual Throughput (tons)</t>
  </si>
  <si>
    <t>Maximum</t>
  </si>
  <si>
    <t>Actual</t>
  </si>
  <si>
    <t>Percent of Miles that the Vehicles Travel While Empty (%):</t>
  </si>
  <si>
    <t>If vehicles travel the same distance empty and full, this number is should be entered as 50.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</si>
  <si>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</si>
  <si>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Average weight of vehicles based on the distance traveled on site.</t>
  </si>
  <si>
    <t>Average Load Weight (tons):</t>
  </si>
  <si>
    <t>Average weight of full vehicle minus average weight of empty vehicle.</t>
  </si>
  <si>
    <t>Potential Annual One-Way Trips taken on road:</t>
  </si>
  <si>
    <t>Maximum Potential Annual Throughput divided by Average Load Weight.</t>
  </si>
  <si>
    <t>Actual Annual One-Way Trips taken on road:</t>
  </si>
  <si>
    <t>Actual Annual Throughput divided by Mean Vehicle Weight.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</si>
  <si>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</si>
  <si>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>See Map - AP-42 Figure 13.2.1-2 for value.  100 may be entered as a default value.</t>
  </si>
  <si>
    <t>Grain Emission Factors from AP-42 Table 9.9.1-1 (May 2003), Natural Gas Combustion Emission Factors from AP-42 Table 1.4-1/2/3 (July 1998), Propane Combustion Emission Factors from AP-42 Table 1.5-1 (July 2008)</t>
  </si>
  <si>
    <t>&lt;---------</t>
  </si>
  <si>
    <t>Round Trip Length of Haul Road (miles)</t>
  </si>
  <si>
    <t>Emission Factor equation from AP-42, 13.2.2: EF = [(k) x [(s/12)^0.9] x [(W/3)^0.45] ]((365-p)/365)) lb/VMT</t>
  </si>
  <si>
    <t>k=constant=1.5 for PM10 and 0.15 for PM2.5 (AP-42 Table 13.2.2-1)</t>
  </si>
  <si>
    <t>s= silt content (AP-42 Table 13.2.2-1)</t>
  </si>
  <si>
    <t>w= average vehicle weight</t>
  </si>
  <si>
    <t>p = number of days per year with at least 0.01 inches of precipitation (see map - Figure 1)</t>
  </si>
  <si>
    <t xml:space="preserve">Dust Supressant </t>
  </si>
  <si>
    <t>Dust Supressant</t>
  </si>
  <si>
    <t xml:space="preserve">Please fill in the yellow boxes as applicable for your facility. </t>
  </si>
  <si>
    <t>Days/Year with at Least 0.01 inches of Precipitation:</t>
  </si>
  <si>
    <t>Enter 8.3 for haul road to/from pit or 10 for plant road.</t>
  </si>
  <si>
    <t>Emission Factor equation from AP-42, 13.2.2 (Jan 2011): EF = [(k) x [(s/12)^0.9] x [(W/3)^0.45] ]((365-p)/365)) lb/VMT</t>
  </si>
  <si>
    <t>p = number of days per year with at least 0.01 inches of precipitation (see map - AP-42 3.2.2 Figure 1)</t>
  </si>
  <si>
    <t>Grain PTE tool</t>
  </si>
  <si>
    <t>SUBMITTAL TYPE:</t>
  </si>
  <si>
    <t>Emission Inventory - Intial</t>
  </si>
  <si>
    <t>Emission Inventory - Supplemental Information</t>
  </si>
  <si>
    <t>**As of 2016 Potential Emissions are no longer required to be reported in the Minor Source Emissions Inventory**</t>
  </si>
  <si>
    <t>Bagfilter &amp; Cyclone</t>
  </si>
  <si>
    <t>Oil after Receiving (Internal Handling)</t>
  </si>
  <si>
    <t>Oil after Receiving (Storage Bins)</t>
  </si>
  <si>
    <t>Oil after Receiving (Grain Dryer)</t>
  </si>
  <si>
    <t>Oil after Receiving (Loadout)</t>
  </si>
  <si>
    <t>Oil at Loadout</t>
  </si>
  <si>
    <t>Bin Vent Filters &amp; Oil after Receiving</t>
  </si>
  <si>
    <t>Control Equipment - Oiling</t>
  </si>
  <si>
    <t>Bagfilter &amp; Sock</t>
  </si>
  <si>
    <t>Cyclone &amp; Sock</t>
  </si>
  <si>
    <t>Formula for using more than 1 control method:  Control Efficiency = CE1 + CE2 ‐ [(CE1 x CE2) / 100] - MSEI Instruction Booklet</t>
  </si>
  <si>
    <t>Identify all controls (leave blank if N/A)</t>
  </si>
  <si>
    <t xml:space="preserve"> Control Equipment</t>
  </si>
  <si>
    <t>Identify all controls used for the loadout process (leave blank if N/A)</t>
  </si>
  <si>
    <t>Facility Processes</t>
  </si>
  <si>
    <t>Permit Number:</t>
  </si>
  <si>
    <t>Enter the Year for</t>
  </si>
  <si>
    <t>which you are</t>
  </si>
  <si>
    <t>calculating emissions,</t>
  </si>
  <si>
    <t>usually the previous</t>
  </si>
  <si>
    <t>calendar year.</t>
  </si>
  <si>
    <t>Last Updated 1-22-20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</si>
</sst>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85">
    <xf numFmtId="0" fontId="0" fillId="0" borderId="0" xfId="0"/>
    <xf numFmtId="0" fontId="1" fillId="0" borderId="1" xfId="0" applyFont="1" applyBorder="1"/>
    <xf numFmtId="0" fontId="1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13" fillId="0" borderId="0" xfId="0" applyFont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5" xfId="0" applyBorder="1"/>
    <xf numFmtId="4" fontId="0" fillId="0" borderId="6" xfId="0" applyNumberFormat="1" applyBorder="1"/>
    <xf numFmtId="4" fontId="0" fillId="0" borderId="1" xfId="0" applyNumberForma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3" fillId="0" borderId="7" xfId="0" applyFont="1" applyBorder="1" applyAlignment="1"/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Fill="1" applyBorder="1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11" fillId="0" borderId="0" xfId="0" applyFont="1"/>
    <xf numFmtId="0" fontId="14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/>
    <xf numFmtId="0" fontId="11" fillId="0" borderId="0" xfId="0" applyFont="1" applyAlignment="1">
      <alignment horizontal="center"/>
    </xf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/>
    <xf numFmtId="0" fontId="15" fillId="0" borderId="0" xfId="1" applyFont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center"/>
    </xf>
    <xf numFmtId="2" fontId="14" fillId="0" borderId="0" xfId="0" applyNumberFormat="1" applyFont="1" applyAlignment="1" applyProtection="1">
      <alignment horizontal="center"/>
    </xf>
    <xf numFmtId="2" fontId="0" fillId="0" borderId="1" xfId="0" applyNumberFormat="1" applyBorder="1" applyAlignment="1" applyProtection="1">
      <alignment horizontal="left"/>
    </xf>
    <xf numFmtId="2" fontId="18" fillId="0" borderId="0" xfId="0" applyNumberFormat="1" applyFont="1" applyAlignment="1" applyProtection="1">
      <alignment horizontal="left"/>
    </xf>
    <xf numFmtId="0" fontId="14" fillId="0" borderId="1" xfId="0" applyFont="1" applyBorder="1" applyAlignment="1" applyProtection="1">
      <alignment horizontal="center"/>
    </xf>
    <xf numFmtId="0" fontId="13" fillId="3" borderId="15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9" fillId="0" borderId="0" xfId="0" applyFont="1" applyBorder="1" applyProtection="1"/>
    <xf numFmtId="0" fontId="11" fillId="0" borderId="16" xfId="0" applyFont="1" applyBorder="1" applyAlignment="1" applyProtection="1">
      <alignment wrapText="1"/>
    </xf>
    <xf numFmtId="0" fontId="0" fillId="0" borderId="16" xfId="0" applyBorder="1" applyProtection="1"/>
    <xf numFmtId="0" fontId="14" fillId="0" borderId="0" xfId="0" applyFont="1" applyAlignment="1" applyProtection="1"/>
    <xf numFmtId="0" fontId="14" fillId="0" borderId="0" xfId="0" applyFont="1" applyProtection="1"/>
    <xf numFmtId="4" fontId="0" fillId="0" borderId="0" xfId="0" applyNumberForma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3" fontId="0" fillId="3" borderId="6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14" fillId="0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8" fillId="0" borderId="0" xfId="1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/>
    </xf>
    <xf numFmtId="9" fontId="8" fillId="3" borderId="2" xfId="2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4" fontId="0" fillId="0" borderId="1" xfId="0" applyNumberForma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20" fillId="0" borderId="0" xfId="0" applyFont="1"/>
    <xf numFmtId="0" fontId="21" fillId="0" borderId="0" xfId="0" applyFont="1" applyProtection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1" fillId="0" borderId="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22" fillId="0" borderId="0" xfId="0" applyFont="1"/>
    <xf numFmtId="0" fontId="13" fillId="3" borderId="1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25" fillId="0" borderId="0" xfId="0" applyFont="1" applyBorder="1" applyProtection="1"/>
    <xf numFmtId="0" fontId="11" fillId="0" borderId="2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3" borderId="1" xfId="0" applyFont="1" applyFill="1" applyBorder="1" applyAlignment="1" applyProtection="1">
      <protection locked="0"/>
    </xf>
    <xf numFmtId="0" fontId="1" fillId="0" borderId="6" xfId="0" applyFont="1" applyBorder="1" applyAlignment="1">
      <alignment horizontal="left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>
      <alignment horizontal="center"/>
    </xf>
    <xf numFmtId="0" fontId="13" fillId="3" borderId="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ont="1" applyBorder="1" applyAlignment="1"/>
    <xf numFmtId="0" fontId="0" fillId="3" borderId="5" xfId="0" applyFill="1" applyBorder="1" applyProtection="1">
      <protection locked="0"/>
    </xf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>
      <alignment horizontal="center"/>
    </xf>
    <xf numFmtId="0" fontId="13" fillId="3" borderId="15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>
      <alignment horizontal="left"/>
    </xf>
    <xf numFmtId="0" fontId="13" fillId="3" borderId="3" xfId="0" applyFont="1" applyFill="1" applyBorder="1" applyAlignment="1" applyProtection="1">
      <protection locked="0"/>
    </xf>
    <xf numFmtId="0" fontId="26" fillId="3" borderId="2" xfId="0" applyFont="1" applyFill="1" applyBorder="1" applyAlignment="1" applyProtection="1">
      <protection locked="0"/>
    </xf>
    <xf numFmtId="0" fontId="0" fillId="0" borderId="1" xfId="0" applyBorder="1" applyAlignment="1">
      <alignment horizontal="left"/>
    </xf>
    <xf numFmtId="0" fontId="13" fillId="0" borderId="19" xfId="0" applyFont="1" applyBorder="1" applyAlignment="1"/>
    <xf numFmtId="0" fontId="13" fillId="0" borderId="4" xfId="0" applyFont="1" applyBorder="1" applyAlignment="1"/>
    <xf numFmtId="0" fontId="13" fillId="4" borderId="4" xfId="0" applyFont="1" applyFill="1" applyBorder="1" applyAlignment="1" applyProtection="1"/>
    <xf numFmtId="0" fontId="13" fillId="4" borderId="5" xfId="0" applyFont="1" applyFill="1" applyBorder="1" applyAlignment="1" applyProtection="1"/>
    <xf numFmtId="0" fontId="13" fillId="4" borderId="25" xfId="0" applyFont="1" applyFill="1" applyBorder="1" applyAlignment="1" applyProtection="1"/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3" borderId="15" xfId="0" applyFont="1" applyFill="1" applyBorder="1" applyAlignment="1" applyProtection="1">
      <protection locked="0"/>
    </xf>
    <xf numFmtId="0" fontId="13" fillId="3" borderId="2" xfId="0" applyFont="1" applyFill="1" applyBorder="1" applyAlignment="1" applyProtection="1">
      <protection locked="0"/>
    </xf>
    <xf numFmtId="0" fontId="13" fillId="4" borderId="27" xfId="0" applyFont="1" applyFill="1" applyBorder="1" applyAlignment="1" applyProtection="1"/>
    <xf numFmtId="0" fontId="13" fillId="4" borderId="20" xfId="0" applyFont="1" applyFill="1" applyBorder="1" applyAlignment="1" applyProtection="1"/>
    <xf numFmtId="0" fontId="0" fillId="3" borderId="1" xfId="0" applyFill="1" applyBorder="1" applyAlignment="1" applyProtection="1"/>
    <xf numFmtId="0" fontId="23" fillId="0" borderId="0" xfId="0" applyFont="1" applyAlignment="1"/>
    <xf numFmtId="0" fontId="11" fillId="0" borderId="0" xfId="0" applyFont="1" applyAlignment="1"/>
    <xf numFmtId="0" fontId="11" fillId="0" borderId="2" xfId="0" applyFont="1" applyBorder="1" applyAlignment="1" applyProtection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21" xfId="0" applyBorder="1" applyAlignment="1"/>
    <xf numFmtId="0" fontId="0" fillId="0" borderId="23" xfId="0" applyBorder="1" applyAlignment="1"/>
    <xf numFmtId="0" fontId="11" fillId="0" borderId="25" xfId="0" applyFont="1" applyBorder="1" applyAlignment="1"/>
    <xf numFmtId="0" fontId="11" fillId="3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24" fillId="0" borderId="2" xfId="0" applyFont="1" applyBorder="1" applyAlignment="1" applyProtection="1">
      <alignment horizontal="center" wrapText="1"/>
    </xf>
    <xf numFmtId="0" fontId="24" fillId="0" borderId="3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 wrapText="1"/>
    </xf>
    <xf numFmtId="0" fontId="11" fillId="0" borderId="2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/>
    </xf>
    <xf numFmtId="0" fontId="8" fillId="0" borderId="17" xfId="1" applyFont="1" applyBorder="1" applyAlignment="1" applyProtection="1">
      <alignment horizontal="right"/>
    </xf>
    <xf numFmtId="0" fontId="8" fillId="0" borderId="0" xfId="1" applyFont="1" applyFill="1" applyAlignment="1" applyProtection="1">
      <alignment horizontal="right"/>
    </xf>
    <xf numFmtId="0" fontId="8" fillId="0" borderId="0" xfId="1" applyFont="1" applyFill="1" applyAlignment="1" applyProtection="1"/>
    <xf numFmtId="0" fontId="8" fillId="0" borderId="16" xfId="1" applyFont="1" applyBorder="1" applyAlignment="1" applyProtection="1"/>
    <xf numFmtId="0" fontId="8" fillId="0" borderId="0" xfId="1" applyFont="1" applyBorder="1" applyAlignment="1" applyProtection="1"/>
    <xf numFmtId="0" fontId="8" fillId="0" borderId="16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 wrapText="1"/>
    </xf>
    <xf numFmtId="0" fontId="8" fillId="0" borderId="17" xfId="1" applyFont="1" applyBorder="1" applyAlignment="1" applyProtection="1">
      <alignment horizontal="right" vertical="center" wrapText="1"/>
    </xf>
    <xf numFmtId="0" fontId="8" fillId="0" borderId="16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right" vertic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</cellXfs>
  <cellStyles count="3">
    <cellStyle name="Normal" xfId="0" builtinId="0"/>
    <cellStyle name="Normal 2" xfId="1"/>
    <cellStyle name="Percent 2" xfId="2"/>
  </cellStyles>
  <dxfs count="6"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110" zoomScaleNormal="110" workbookViewId="0"/>
  </sheetViews>
  <sheetFormatPr defaultRowHeight="15" x14ac:dyDescent="0.25"/>
  <cols>
    <col min="1" max="1" width="23.42578125" style="19" customWidth="1"/>
    <col min="2" max="2" width="34.140625" style="19" customWidth="1"/>
    <col min="3" max="3" width="20.85546875" style="19" customWidth="1"/>
    <col min="4" max="4" width="16.7109375" style="19" customWidth="1"/>
    <col min="5" max="5" width="14.7109375" style="19" customWidth="1"/>
    <col min="6" max="6" width="13" style="19" customWidth="1"/>
    <col min="7" max="7" width="8.42578125" style="19" customWidth="1"/>
    <col min="8" max="8" width="19.85546875" style="19" customWidth="1"/>
    <col min="9" max="9" width="5.7109375" style="19" customWidth="1"/>
    <col min="10" max="10" width="20" style="19" customWidth="1"/>
    <col min="11" max="11" width="12.140625" style="19" hidden="1" customWidth="1"/>
    <col min="12" max="12" width="11.7109375" style="19" customWidth="1"/>
    <col min="13" max="16384" width="9.140625" style="19"/>
  </cols>
  <sheetData>
    <row r="1" spans="1:12" ht="15.75" x14ac:dyDescent="0.25">
      <c r="A1" s="147" t="s">
        <v>0</v>
      </c>
      <c r="B1" s="147"/>
    </row>
    <row r="2" spans="1:12" x14ac:dyDescent="0.25">
      <c r="A2" s="90" t="s">
        <v>177</v>
      </c>
    </row>
    <row r="3" spans="1:12" x14ac:dyDescent="0.25">
      <c r="A3" s="5"/>
    </row>
    <row r="4" spans="1:12" x14ac:dyDescent="0.25">
      <c r="A4" s="16" t="s">
        <v>152</v>
      </c>
      <c r="B4" s="131"/>
      <c r="C4" s="133" t="s">
        <v>113</v>
      </c>
      <c r="D4" s="134"/>
      <c r="E4" s="121"/>
      <c r="F4" s="146"/>
    </row>
    <row r="5" spans="1:12" ht="15" customHeight="1" x14ac:dyDescent="0.25">
      <c r="A5" s="117" t="s">
        <v>1</v>
      </c>
      <c r="B5" s="116"/>
      <c r="C5" s="136"/>
      <c r="E5" s="17" t="s">
        <v>84</v>
      </c>
      <c r="F5" s="58"/>
      <c r="G5" s="19" t="s">
        <v>137</v>
      </c>
      <c r="H5" s="93" t="s">
        <v>172</v>
      </c>
      <c r="I5" s="93"/>
      <c r="K5" s="93"/>
      <c r="L5" s="93"/>
    </row>
    <row r="6" spans="1:12" x14ac:dyDescent="0.25">
      <c r="A6" s="6" t="s">
        <v>5</v>
      </c>
      <c r="B6" s="130"/>
      <c r="C6" s="137"/>
      <c r="D6" s="135"/>
      <c r="E6" s="135"/>
      <c r="F6" s="136"/>
      <c r="G6" s="61"/>
      <c r="H6" s="93" t="s">
        <v>173</v>
      </c>
      <c r="I6" s="93"/>
      <c r="K6" s="93"/>
      <c r="L6" s="93"/>
    </row>
    <row r="7" spans="1:12" x14ac:dyDescent="0.25">
      <c r="A7" s="117" t="s">
        <v>85</v>
      </c>
      <c r="B7" s="116"/>
      <c r="C7" s="135"/>
      <c r="D7" s="135"/>
      <c r="E7" s="135"/>
      <c r="F7" s="136"/>
      <c r="H7" s="19" t="s">
        <v>174</v>
      </c>
      <c r="I7" s="93"/>
      <c r="K7" s="19" t="s">
        <v>114</v>
      </c>
    </row>
    <row r="8" spans="1:12" x14ac:dyDescent="0.25">
      <c r="A8" s="6" t="s">
        <v>88</v>
      </c>
      <c r="B8" s="142"/>
      <c r="C8" s="138" t="s">
        <v>87</v>
      </c>
      <c r="D8" s="126" t="s">
        <v>86</v>
      </c>
      <c r="E8" s="127" t="s">
        <v>90</v>
      </c>
      <c r="F8" s="128"/>
      <c r="H8" s="19" t="s">
        <v>175</v>
      </c>
      <c r="I8" s="93"/>
      <c r="K8" s="19" t="s">
        <v>115</v>
      </c>
    </row>
    <row r="9" spans="1:12" x14ac:dyDescent="0.25">
      <c r="A9" s="117" t="s">
        <v>2</v>
      </c>
      <c r="B9" s="116"/>
      <c r="C9" s="135"/>
      <c r="D9" s="135"/>
      <c r="E9" s="135"/>
      <c r="F9" s="136"/>
      <c r="H9" s="19" t="s">
        <v>176</v>
      </c>
      <c r="I9" s="93"/>
    </row>
    <row r="10" spans="1:12" x14ac:dyDescent="0.25">
      <c r="A10" s="6" t="s">
        <v>88</v>
      </c>
      <c r="B10" s="130"/>
      <c r="C10" s="139" t="s">
        <v>87</v>
      </c>
      <c r="D10" s="118"/>
      <c r="E10" s="119" t="s">
        <v>90</v>
      </c>
      <c r="F10" s="120"/>
      <c r="K10" s="19" t="s">
        <v>153</v>
      </c>
    </row>
    <row r="11" spans="1:12" x14ac:dyDescent="0.25">
      <c r="A11" s="6" t="s">
        <v>3</v>
      </c>
      <c r="B11" s="143"/>
      <c r="C11" s="140" t="s">
        <v>4</v>
      </c>
      <c r="D11" s="116"/>
      <c r="E11" s="144"/>
      <c r="F11" s="145"/>
      <c r="K11" s="19" t="s">
        <v>154</v>
      </c>
    </row>
    <row r="12" spans="1:12" x14ac:dyDescent="0.25">
      <c r="A12" s="129" t="s">
        <v>89</v>
      </c>
      <c r="B12" s="116"/>
      <c r="C12" s="135"/>
      <c r="D12" s="135"/>
      <c r="E12" s="135"/>
      <c r="F12" s="136"/>
    </row>
    <row r="13" spans="1:12" x14ac:dyDescent="0.25">
      <c r="A13" s="129" t="s">
        <v>91</v>
      </c>
      <c r="B13" s="116"/>
      <c r="C13" s="135"/>
      <c r="D13" s="135"/>
      <c r="E13" s="135"/>
      <c r="F13" s="136"/>
    </row>
    <row r="14" spans="1:12" x14ac:dyDescent="0.25">
      <c r="A14" s="129" t="s">
        <v>92</v>
      </c>
      <c r="B14" s="116"/>
      <c r="C14" s="135"/>
      <c r="D14" s="135"/>
      <c r="E14" s="135"/>
      <c r="F14" s="136"/>
    </row>
    <row r="15" spans="1:12" x14ac:dyDescent="0.25">
      <c r="A15" s="6" t="s">
        <v>88</v>
      </c>
      <c r="B15" s="120"/>
      <c r="C15" s="139" t="s">
        <v>87</v>
      </c>
      <c r="D15" s="118"/>
      <c r="E15" s="119" t="s">
        <v>90</v>
      </c>
      <c r="F15" s="120"/>
    </row>
    <row r="16" spans="1:12" x14ac:dyDescent="0.25">
      <c r="A16" s="8" t="s">
        <v>93</v>
      </c>
      <c r="B16" s="98"/>
      <c r="C16" s="141" t="s">
        <v>4</v>
      </c>
      <c r="D16" s="116"/>
      <c r="E16" s="135"/>
      <c r="F16" s="136"/>
    </row>
    <row r="17" spans="1:10" x14ac:dyDescent="0.25">
      <c r="A17" s="10"/>
      <c r="D17" s="18"/>
      <c r="I17" s="22"/>
      <c r="J17" s="22"/>
    </row>
    <row r="18" spans="1:10" x14ac:dyDescent="0.25">
      <c r="A18" s="9" t="s">
        <v>94</v>
      </c>
    </row>
    <row r="19" spans="1:10" x14ac:dyDescent="0.25">
      <c r="A19" s="7" t="s">
        <v>95</v>
      </c>
      <c r="B19" s="121"/>
      <c r="C19" s="7" t="s">
        <v>96</v>
      </c>
      <c r="D19" s="121"/>
      <c r="E19" s="122"/>
    </row>
    <row r="20" spans="1:10" x14ac:dyDescent="0.25">
      <c r="C20" s="46"/>
    </row>
    <row r="21" spans="1:10" x14ac:dyDescent="0.25">
      <c r="A21" s="1" t="s">
        <v>6</v>
      </c>
      <c r="B21" s="132">
        <v>5153</v>
      </c>
    </row>
    <row r="22" spans="1:10" x14ac:dyDescent="0.25">
      <c r="A22" s="1" t="s">
        <v>7</v>
      </c>
      <c r="B22" s="132">
        <v>424510</v>
      </c>
    </row>
    <row r="23" spans="1:10" x14ac:dyDescent="0.25">
      <c r="A23" s="1" t="s">
        <v>8</v>
      </c>
      <c r="B23" s="21" t="s">
        <v>9</v>
      </c>
    </row>
    <row r="24" spans="1:10" x14ac:dyDescent="0.25">
      <c r="A24" s="28"/>
      <c r="B24" s="23"/>
    </row>
    <row r="25" spans="1:10" x14ac:dyDescent="0.25">
      <c r="A25" s="123" t="s">
        <v>171</v>
      </c>
      <c r="B25" s="124"/>
    </row>
    <row r="26" spans="1:10" x14ac:dyDescent="0.25">
      <c r="B26" s="125"/>
    </row>
    <row r="27" spans="1:10" x14ac:dyDescent="0.25">
      <c r="A27" s="11"/>
      <c r="B27" s="11"/>
    </row>
    <row r="29" spans="1:10" ht="15.75" x14ac:dyDescent="0.25">
      <c r="A29" s="20" t="s">
        <v>17</v>
      </c>
    </row>
    <row r="30" spans="1:10" ht="15.75" x14ac:dyDescent="0.25">
      <c r="A30" s="3" t="s">
        <v>48</v>
      </c>
    </row>
    <row r="31" spans="1:10" x14ac:dyDescent="0.25">
      <c r="A31" s="39" t="s">
        <v>10</v>
      </c>
      <c r="B31" s="39" t="s">
        <v>24</v>
      </c>
      <c r="C31" s="39" t="s">
        <v>25</v>
      </c>
      <c r="D31" s="2" t="s">
        <v>26</v>
      </c>
      <c r="E31" s="2" t="s">
        <v>27</v>
      </c>
    </row>
    <row r="32" spans="1:10" x14ac:dyDescent="0.25">
      <c r="A32" s="27" t="str">
        <f>IF(F5="",(" "),F5)</f>
        <v xml:space="preserve"> </v>
      </c>
      <c r="B32" s="60"/>
      <c r="C32" s="60"/>
      <c r="D32" s="60"/>
      <c r="E32" s="14">
        <f>B32*56/2000+C32*60/2000+D32</f>
        <v>0</v>
      </c>
      <c r="F32" s="19" t="s">
        <v>98</v>
      </c>
      <c r="G32" s="19" t="s">
        <v>99</v>
      </c>
    </row>
    <row r="33" spans="1:9" x14ac:dyDescent="0.25">
      <c r="A33" s="27" t="str">
        <f>IF(F5="",(" "),F5-1)</f>
        <v xml:space="preserve"> </v>
      </c>
      <c r="B33" s="60"/>
      <c r="C33" s="60"/>
      <c r="D33" s="60"/>
      <c r="E33" s="14">
        <f>B33*56/2000+C33*60/2000+D33</f>
        <v>0</v>
      </c>
      <c r="G33" s="19" t="s">
        <v>100</v>
      </c>
    </row>
    <row r="34" spans="1:9" x14ac:dyDescent="0.25">
      <c r="A34" s="27" t="str">
        <f>IF(F5="",(" "),F5-2)</f>
        <v xml:space="preserve"> </v>
      </c>
      <c r="B34" s="60"/>
      <c r="C34" s="60"/>
      <c r="D34" s="60"/>
      <c r="E34" s="14">
        <f>B34*56/2000+C34*60/2000+D34</f>
        <v>0</v>
      </c>
      <c r="G34" s="19" t="s">
        <v>101</v>
      </c>
    </row>
    <row r="35" spans="1:9" x14ac:dyDescent="0.25">
      <c r="A35" s="27" t="str">
        <f>IF(F5="",(" "),F5-3)</f>
        <v xml:space="preserve"> </v>
      </c>
      <c r="B35" s="60"/>
      <c r="C35" s="60"/>
      <c r="D35" s="60"/>
      <c r="E35" s="14">
        <f>B35*56/2000+C35*60/2000+D35</f>
        <v>0</v>
      </c>
    </row>
    <row r="36" spans="1:9" x14ac:dyDescent="0.25">
      <c r="A36" s="27" t="str">
        <f>IF(F5="",(" "),F5-4)</f>
        <v xml:space="preserve"> </v>
      </c>
      <c r="B36" s="60"/>
      <c r="C36" s="60"/>
      <c r="D36" s="60"/>
      <c r="E36" s="14">
        <f>B36*56/2000+C36*60/2000+D36</f>
        <v>0</v>
      </c>
    </row>
    <row r="37" spans="1:9" x14ac:dyDescent="0.25">
      <c r="C37" s="148" t="str">
        <f>IF(D32&gt;0,"Other, please specify material type:",IF(D33&gt;0,"Other, please specify material type:",IF(D34&gt;0,"Other, please specify material type:",IF(D35&gt;0,"Other, please specify material type:",IF(D36&gt;0,"Other, please specify material type:","")))))</f>
        <v/>
      </c>
      <c r="D37" s="148"/>
      <c r="E37" s="89"/>
    </row>
    <row r="38" spans="1:9" x14ac:dyDescent="0.25">
      <c r="A38" s="19" t="s">
        <v>97</v>
      </c>
      <c r="F38" s="29"/>
      <c r="H38" s="13">
        <f>MAX(E32:E36)*1.2</f>
        <v>0</v>
      </c>
      <c r="I38" s="12" t="s">
        <v>107</v>
      </c>
    </row>
  </sheetData>
  <sheetProtection algorithmName="SHA-512" hashValue="mgM9Am4xITvjCRU33TCKHQHYP/1uTVQSe6QcaCbAJF4I7kO1JCYXLxEpunfmx6tgeFKvfWvRyytB+1jG7rCl8w==" saltValue="vNSQO1Da/kK6ck1tWb5HxA==" spinCount="100000" sheet="1" objects="1" scenarios="1"/>
  <conditionalFormatting sqref="E37">
    <cfRule type="cellIs" dxfId="5" priority="47" stopIfTrue="1" operator="notEqual">
      <formula>$C$37</formula>
    </cfRule>
  </conditionalFormatting>
  <dataValidations count="2">
    <dataValidation type="list" allowBlank="1" showInputMessage="1" showErrorMessage="1" sqref="E4:F4">
      <formula1>Employ</formula1>
    </dataValidation>
    <dataValidation type="list" allowBlank="1" showInputMessage="1" showErrorMessage="1" sqref="B4">
      <formula1>aptype</formula1>
    </dataValidation>
  </dataValidations>
  <pageMargins left="0.25" right="0.25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opLeftCell="B1" workbookViewId="0">
      <selection activeCell="B36" sqref="B36"/>
    </sheetView>
  </sheetViews>
  <sheetFormatPr defaultRowHeight="15" x14ac:dyDescent="0.25"/>
  <cols>
    <col min="1" max="1" width="35.28515625" style="62" hidden="1" customWidth="1"/>
    <col min="2" max="2" width="9.42578125" style="62" customWidth="1"/>
    <col min="3" max="3" width="9" style="62" customWidth="1"/>
    <col min="4" max="4" width="25.140625" style="62" customWidth="1"/>
    <col min="5" max="5" width="36.140625" style="62" customWidth="1"/>
    <col min="6" max="6" width="32.7109375" style="63" customWidth="1"/>
    <col min="7" max="7" width="20.140625" style="62" customWidth="1"/>
    <col min="8" max="8" width="15.85546875" style="62" customWidth="1"/>
    <col min="9" max="9" width="15.42578125" style="62" customWidth="1"/>
    <col min="10" max="10" width="20.42578125" style="62" customWidth="1"/>
    <col min="11" max="16384" width="9.140625" style="62"/>
  </cols>
  <sheetData>
    <row r="1" spans="1:8" ht="21" x14ac:dyDescent="0.35">
      <c r="B1" s="101" t="s">
        <v>170</v>
      </c>
    </row>
    <row r="2" spans="1:8" s="79" customFormat="1" x14ac:dyDescent="0.25">
      <c r="B2" s="155" t="s">
        <v>146</v>
      </c>
      <c r="C2" s="155"/>
      <c r="D2" s="155"/>
      <c r="E2" s="155"/>
      <c r="F2" s="80"/>
    </row>
    <row r="3" spans="1:8" s="79" customFormat="1" x14ac:dyDescent="0.25">
      <c r="B3" s="82"/>
      <c r="C3" s="82"/>
      <c r="D3" s="82"/>
      <c r="E3" s="82"/>
      <c r="F3" s="80"/>
    </row>
    <row r="4" spans="1:8" ht="15.75" x14ac:dyDescent="0.25">
      <c r="B4" s="64" t="s">
        <v>73</v>
      </c>
    </row>
    <row r="5" spans="1:8" ht="15" customHeight="1" x14ac:dyDescent="0.25">
      <c r="B5" s="156" t="s">
        <v>12</v>
      </c>
      <c r="C5" s="160" t="s">
        <v>13</v>
      </c>
      <c r="D5" s="158" t="s">
        <v>103</v>
      </c>
      <c r="E5" s="96" t="s">
        <v>167</v>
      </c>
      <c r="F5" s="158" t="s">
        <v>102</v>
      </c>
      <c r="G5" s="158" t="str">
        <f>'Facility Information'!A32&amp;" Annual Throughput (tons/yr)"</f>
        <v xml:space="preserve">  Annual Throughput (tons/yr)</v>
      </c>
    </row>
    <row r="6" spans="1:8" x14ac:dyDescent="0.25">
      <c r="B6" s="157"/>
      <c r="C6" s="161"/>
      <c r="D6" s="159"/>
      <c r="E6" s="96" t="s">
        <v>168</v>
      </c>
      <c r="F6" s="159"/>
      <c r="G6" s="159"/>
    </row>
    <row r="7" spans="1:8" x14ac:dyDescent="0.25">
      <c r="A7" s="46" t="s">
        <v>20</v>
      </c>
      <c r="B7" s="72"/>
      <c r="C7" s="72"/>
      <c r="D7" s="59"/>
      <c r="E7" s="59"/>
      <c r="F7" s="72"/>
      <c r="G7" s="73"/>
    </row>
    <row r="8" spans="1:8" x14ac:dyDescent="0.25">
      <c r="A8" s="46" t="s">
        <v>19</v>
      </c>
      <c r="B8" s="72"/>
      <c r="C8" s="72"/>
      <c r="D8" s="59"/>
      <c r="E8" s="59"/>
      <c r="F8" s="72"/>
      <c r="G8" s="73"/>
    </row>
    <row r="9" spans="1:8" x14ac:dyDescent="0.25">
      <c r="A9" s="46" t="s">
        <v>16</v>
      </c>
      <c r="B9" s="72"/>
      <c r="C9" s="72"/>
      <c r="D9" s="59"/>
      <c r="E9" s="59"/>
      <c r="F9" s="72"/>
      <c r="G9" s="73"/>
    </row>
    <row r="10" spans="1:8" x14ac:dyDescent="0.25">
      <c r="A10" s="46" t="s">
        <v>15</v>
      </c>
    </row>
    <row r="11" spans="1:8" ht="15.75" x14ac:dyDescent="0.25">
      <c r="A11" s="46" t="s">
        <v>14</v>
      </c>
      <c r="B11" s="64" t="s">
        <v>74</v>
      </c>
    </row>
    <row r="12" spans="1:8" ht="15" customHeight="1" x14ac:dyDescent="0.25">
      <c r="A12" s="46" t="s">
        <v>23</v>
      </c>
      <c r="B12" s="156" t="s">
        <v>12</v>
      </c>
      <c r="C12" s="160" t="s">
        <v>13</v>
      </c>
      <c r="D12" s="158" t="s">
        <v>103</v>
      </c>
      <c r="E12" s="163" t="s">
        <v>169</v>
      </c>
      <c r="F12" s="164"/>
      <c r="G12" s="158" t="s">
        <v>102</v>
      </c>
      <c r="H12" s="158" t="str">
        <f>'Facility Information'!A32&amp;" Annual Throughput (tons/yr)"</f>
        <v xml:space="preserve">  Annual Throughput (tons/yr)</v>
      </c>
    </row>
    <row r="13" spans="1:8" x14ac:dyDescent="0.25">
      <c r="A13" s="46" t="s">
        <v>22</v>
      </c>
      <c r="B13" s="157"/>
      <c r="C13" s="161"/>
      <c r="D13" s="159"/>
      <c r="E13" s="95" t="s">
        <v>30</v>
      </c>
      <c r="F13" s="95" t="s">
        <v>163</v>
      </c>
      <c r="G13" s="159"/>
      <c r="H13" s="159"/>
    </row>
    <row r="14" spans="1:8" x14ac:dyDescent="0.25">
      <c r="A14" s="46" t="s">
        <v>21</v>
      </c>
      <c r="B14" s="72"/>
      <c r="C14" s="72"/>
      <c r="D14" s="59"/>
      <c r="E14" s="59"/>
      <c r="F14" s="59"/>
      <c r="G14" s="72"/>
      <c r="H14" s="73"/>
    </row>
    <row r="15" spans="1:8" x14ac:dyDescent="0.25">
      <c r="A15" s="46" t="s">
        <v>33</v>
      </c>
      <c r="B15" s="72"/>
      <c r="C15" s="72"/>
      <c r="D15" s="59"/>
      <c r="E15" s="59"/>
      <c r="F15" s="59"/>
      <c r="G15" s="72"/>
      <c r="H15" s="73"/>
    </row>
    <row r="16" spans="1:8" x14ac:dyDescent="0.25">
      <c r="A16" s="46" t="s">
        <v>18</v>
      </c>
    </row>
    <row r="17" spans="1:8" ht="15.75" x14ac:dyDescent="0.25">
      <c r="A17" s="46" t="s">
        <v>34</v>
      </c>
      <c r="B17" s="64" t="s">
        <v>78</v>
      </c>
    </row>
    <row r="18" spans="1:8" ht="15" customHeight="1" x14ac:dyDescent="0.25">
      <c r="A18" s="46" t="s">
        <v>43</v>
      </c>
      <c r="B18" s="156" t="s">
        <v>12</v>
      </c>
      <c r="C18" s="160" t="s">
        <v>13</v>
      </c>
      <c r="D18" s="167" t="s">
        <v>103</v>
      </c>
      <c r="E18" s="96" t="s">
        <v>167</v>
      </c>
      <c r="F18" s="165" t="s">
        <v>102</v>
      </c>
      <c r="G18" s="158" t="str">
        <f>'Facility Information'!A32&amp;" Annual Throughput (tons/yr)"</f>
        <v xml:space="preserve">  Annual Throughput (tons/yr)</v>
      </c>
      <c r="H18" s="65"/>
    </row>
    <row r="19" spans="1:8" x14ac:dyDescent="0.25">
      <c r="A19" s="46" t="s">
        <v>81</v>
      </c>
      <c r="B19" s="157"/>
      <c r="C19" s="161"/>
      <c r="D19" s="168"/>
      <c r="E19" s="96" t="s">
        <v>168</v>
      </c>
      <c r="F19" s="166"/>
      <c r="G19" s="159"/>
      <c r="H19" s="65"/>
    </row>
    <row r="20" spans="1:8" x14ac:dyDescent="0.25">
      <c r="A20" s="77" t="s">
        <v>161</v>
      </c>
      <c r="B20" s="72"/>
      <c r="C20" s="72"/>
      <c r="D20" s="59"/>
      <c r="E20" s="99"/>
      <c r="F20" s="72"/>
      <c r="G20" s="75"/>
      <c r="H20" s="66" t="str">
        <f>IF(D20="Grain Dryer (Column)","yes",IF(D20="Grain Dryer (Rack)","yes",""))</f>
        <v/>
      </c>
    </row>
    <row r="21" spans="1:8" x14ac:dyDescent="0.25">
      <c r="A21" s="77" t="s">
        <v>160</v>
      </c>
      <c r="B21" s="72"/>
      <c r="C21" s="72"/>
      <c r="D21" s="59"/>
      <c r="E21" s="74"/>
      <c r="F21" s="72"/>
      <c r="G21" s="75"/>
      <c r="H21" s="66" t="str">
        <f>IF(D21="Grain Dryer (Column)","yes",IF(D21="Grain Dryer (Rack)","yes",""))</f>
        <v/>
      </c>
    </row>
    <row r="22" spans="1:8" x14ac:dyDescent="0.25">
      <c r="B22" s="72"/>
      <c r="C22" s="72"/>
      <c r="D22" s="59"/>
      <c r="E22" s="74"/>
      <c r="F22" s="72"/>
      <c r="G22" s="75"/>
      <c r="H22" s="66" t="str">
        <f>IF(D22="Grain Dryer (Column)","yes",IF(D22="Grain Dryer (Rack)","yes",""))</f>
        <v/>
      </c>
    </row>
    <row r="23" spans="1:8" x14ac:dyDescent="0.25">
      <c r="A23" s="62" t="s">
        <v>156</v>
      </c>
    </row>
    <row r="24" spans="1:8" ht="15.75" x14ac:dyDescent="0.25">
      <c r="A24" s="67" t="s">
        <v>46</v>
      </c>
      <c r="B24" s="64" t="s">
        <v>75</v>
      </c>
    </row>
    <row r="25" spans="1:8" ht="15" customHeight="1" x14ac:dyDescent="0.25">
      <c r="A25" s="67" t="s">
        <v>47</v>
      </c>
      <c r="B25" s="156" t="s">
        <v>12</v>
      </c>
      <c r="C25" s="160" t="s">
        <v>13</v>
      </c>
      <c r="D25" s="158" t="s">
        <v>103</v>
      </c>
      <c r="E25" s="96" t="s">
        <v>167</v>
      </c>
      <c r="F25" s="158" t="s">
        <v>102</v>
      </c>
      <c r="G25" s="158" t="str">
        <f>'Facility Information'!A32&amp;" Annual Throughput (tons/yr)"</f>
        <v xml:space="preserve">  Annual Throughput (tons/yr)</v>
      </c>
    </row>
    <row r="26" spans="1:8" x14ac:dyDescent="0.25">
      <c r="A26" s="67" t="s">
        <v>29</v>
      </c>
      <c r="B26" s="157"/>
      <c r="C26" s="161"/>
      <c r="D26" s="159"/>
      <c r="E26" s="96" t="s">
        <v>168</v>
      </c>
      <c r="F26" s="159"/>
      <c r="G26" s="159"/>
    </row>
    <row r="27" spans="1:8" x14ac:dyDescent="0.25">
      <c r="A27" s="67" t="s">
        <v>156</v>
      </c>
      <c r="B27" s="72"/>
      <c r="C27" s="72"/>
      <c r="D27" s="59"/>
      <c r="E27" s="72"/>
      <c r="F27" s="72"/>
      <c r="G27" s="73"/>
    </row>
    <row r="28" spans="1:8" x14ac:dyDescent="0.25">
      <c r="A28" s="67" t="s">
        <v>164</v>
      </c>
      <c r="B28" s="72"/>
      <c r="C28" s="72"/>
      <c r="D28" s="59"/>
      <c r="E28" s="72"/>
      <c r="F28" s="72"/>
      <c r="G28" s="73"/>
    </row>
    <row r="29" spans="1:8" x14ac:dyDescent="0.25">
      <c r="A29" s="67" t="s">
        <v>165</v>
      </c>
    </row>
    <row r="30" spans="1:8" ht="15.75" x14ac:dyDescent="0.25">
      <c r="B30" s="64" t="s">
        <v>104</v>
      </c>
    </row>
    <row r="31" spans="1:8" ht="15" customHeight="1" x14ac:dyDescent="0.25">
      <c r="B31" s="156" t="s">
        <v>12</v>
      </c>
      <c r="C31" s="160" t="s">
        <v>13</v>
      </c>
      <c r="D31" s="158" t="s">
        <v>103</v>
      </c>
      <c r="E31" s="158" t="s">
        <v>108</v>
      </c>
      <c r="F31" s="162" t="s">
        <v>105</v>
      </c>
      <c r="G31" s="158" t="str">
        <f>'Facility Information'!A32&amp;" Anuual Throughput"</f>
        <v xml:space="preserve">  Anuual Throughput</v>
      </c>
      <c r="H31" s="158" t="s">
        <v>105</v>
      </c>
    </row>
    <row r="32" spans="1:8" x14ac:dyDescent="0.25">
      <c r="A32" s="68" t="s">
        <v>47</v>
      </c>
      <c r="B32" s="157"/>
      <c r="C32" s="161"/>
      <c r="D32" s="159"/>
      <c r="E32" s="159"/>
      <c r="F32" s="162"/>
      <c r="G32" s="159"/>
      <c r="H32" s="159"/>
    </row>
    <row r="33" spans="1:10" x14ac:dyDescent="0.25">
      <c r="A33" s="68" t="s">
        <v>157</v>
      </c>
      <c r="B33" s="72" t="str">
        <f>IF(B27="","",B27)</f>
        <v/>
      </c>
      <c r="C33" s="72" t="str">
        <f>IF(C27="","",C27)</f>
        <v/>
      </c>
      <c r="D33" s="59"/>
      <c r="E33" s="72"/>
      <c r="F33" s="100" t="str">
        <f>IF(D33="","",LOOKUP(D33,'Emission Factors'!$A$16:$A$17,'Emission Factors'!$C$16:$C$17)&amp;"/hr")</f>
        <v/>
      </c>
      <c r="G33" s="76"/>
      <c r="H33" s="100" t="str">
        <f>IF(D33="","",LOOKUP(D33,'Emission Factors'!$A$16:$A$17,'Emission Factors'!$C$16:$C$17)&amp;"/yr")</f>
        <v/>
      </c>
    </row>
    <row r="34" spans="1:10" x14ac:dyDescent="0.25">
      <c r="A34" s="68" t="s">
        <v>28</v>
      </c>
      <c r="B34" s="72" t="str">
        <f>IF(B28="","",B28)</f>
        <v/>
      </c>
      <c r="C34" s="72" t="str">
        <f>IF(C28="","",C28)</f>
        <v/>
      </c>
      <c r="D34" s="59"/>
      <c r="E34" s="72"/>
      <c r="F34" s="100" t="str">
        <f>IF(D34="","",LOOKUP(D34,'Emission Factors'!$A$16:$A$17,'Emission Factors'!$C$16:$C$17)&amp;"/hr")</f>
        <v/>
      </c>
      <c r="G34" s="76"/>
      <c r="H34" s="100" t="str">
        <f>IF(D34="","",LOOKUP(D34,'Emission Factors'!$A$16:$A$17,'Emission Factors'!$C$16:$C$17)&amp;"/yr")</f>
        <v/>
      </c>
    </row>
    <row r="35" spans="1:10" x14ac:dyDescent="0.25">
      <c r="A35" s="78" t="s">
        <v>158</v>
      </c>
      <c r="G35" s="69"/>
    </row>
    <row r="36" spans="1:10" ht="15.75" x14ac:dyDescent="0.25">
      <c r="A36" s="78" t="s">
        <v>162</v>
      </c>
      <c r="B36" s="64" t="s">
        <v>116</v>
      </c>
    </row>
    <row r="37" spans="1:10" ht="15" customHeight="1" x14ac:dyDescent="0.25">
      <c r="B37" s="156" t="s">
        <v>12</v>
      </c>
      <c r="C37" s="160" t="s">
        <v>13</v>
      </c>
      <c r="D37" s="158" t="s">
        <v>103</v>
      </c>
      <c r="E37" s="158" t="s">
        <v>30</v>
      </c>
      <c r="F37" s="182" t="s">
        <v>118</v>
      </c>
      <c r="G37" s="183"/>
      <c r="H37" s="163" t="s">
        <v>121</v>
      </c>
      <c r="I37" s="164"/>
      <c r="J37" s="184" t="s">
        <v>138</v>
      </c>
    </row>
    <row r="38" spans="1:10" x14ac:dyDescent="0.25">
      <c r="B38" s="157"/>
      <c r="C38" s="161"/>
      <c r="D38" s="159"/>
      <c r="E38" s="159"/>
      <c r="F38" s="70" t="s">
        <v>119</v>
      </c>
      <c r="G38" s="70" t="s">
        <v>120</v>
      </c>
      <c r="H38" s="71" t="s">
        <v>122</v>
      </c>
      <c r="I38" s="71" t="s">
        <v>123</v>
      </c>
      <c r="J38" s="184"/>
    </row>
    <row r="39" spans="1:10" x14ac:dyDescent="0.25">
      <c r="A39" s="78" t="s">
        <v>144</v>
      </c>
      <c r="B39" s="72"/>
      <c r="C39" s="72"/>
      <c r="D39" s="59" t="s">
        <v>117</v>
      </c>
      <c r="E39" s="59"/>
      <c r="F39" s="72"/>
      <c r="G39" s="75"/>
      <c r="H39" s="86" t="str">
        <f>IF('Facility Information'!H38&gt;0,'Facility Information'!H38,"")</f>
        <v/>
      </c>
      <c r="I39" s="86" t="str">
        <f>IF('Facility Information'!H38&gt;0,'Facility Information'!E32,"")</f>
        <v/>
      </c>
      <c r="J39" s="72"/>
    </row>
    <row r="41" spans="1:10" x14ac:dyDescent="0.25">
      <c r="A41" s="78" t="s">
        <v>159</v>
      </c>
      <c r="B41" s="181" t="s">
        <v>124</v>
      </c>
      <c r="C41" s="181"/>
      <c r="D41" s="178"/>
      <c r="E41" s="83"/>
      <c r="F41" s="179" t="s">
        <v>125</v>
      </c>
      <c r="G41" s="180"/>
      <c r="H41" s="180"/>
      <c r="I41" s="180"/>
      <c r="J41" s="180"/>
    </row>
    <row r="42" spans="1:10" x14ac:dyDescent="0.25">
      <c r="B42" s="181" t="s">
        <v>126</v>
      </c>
      <c r="C42" s="181"/>
      <c r="D42" s="178"/>
      <c r="E42" s="40" t="str">
        <f>IF(F39="","",F39*E41+G39*(1-E41))</f>
        <v/>
      </c>
      <c r="F42" s="179" t="s">
        <v>127</v>
      </c>
      <c r="G42" s="180"/>
      <c r="H42" s="180"/>
      <c r="I42" s="180"/>
      <c r="J42" s="180"/>
    </row>
    <row r="43" spans="1:10" x14ac:dyDescent="0.25">
      <c r="A43" s="62">
        <f>IF(E14="",0,LOOKUP(E14,'Emission Factors'!A40:A53,'Emission Factors'!D40:D53))</f>
        <v>0</v>
      </c>
      <c r="B43" s="181" t="s">
        <v>128</v>
      </c>
      <c r="C43" s="181"/>
      <c r="D43" s="178"/>
      <c r="E43" s="41" t="str">
        <f>IF(F39="","",G39-F39)</f>
        <v/>
      </c>
      <c r="F43" s="179" t="s">
        <v>129</v>
      </c>
      <c r="G43" s="180"/>
      <c r="H43" s="180"/>
      <c r="I43" s="180"/>
      <c r="J43" s="180"/>
    </row>
    <row r="44" spans="1:10" x14ac:dyDescent="0.25">
      <c r="A44" s="62">
        <f>IF(F14="",0,LOOKUP(F14,'Emission Factors'!A40:A53,'Emission Factors'!D40:D53))</f>
        <v>0</v>
      </c>
      <c r="B44" s="169" t="s">
        <v>130</v>
      </c>
      <c r="C44" s="169"/>
      <c r="D44" s="170"/>
      <c r="E44" s="42" t="str">
        <f>IF(F39="","",H39/E43)</f>
        <v/>
      </c>
      <c r="F44" s="173" t="s">
        <v>131</v>
      </c>
      <c r="G44" s="174"/>
      <c r="H44" s="174"/>
      <c r="I44" s="174"/>
      <c r="J44" s="174"/>
    </row>
    <row r="45" spans="1:10" x14ac:dyDescent="0.25">
      <c r="A45" s="62" t="str">
        <f>IF(SUM(A43:A44)&lt;1,"",((A43+'Facility Processes'!A44)-(('Facility Processes'!A43*'Facility Processes'!A44)/100)))</f>
        <v/>
      </c>
      <c r="B45" s="169" t="s">
        <v>132</v>
      </c>
      <c r="C45" s="169"/>
      <c r="D45" s="170"/>
      <c r="E45" s="42" t="str">
        <f>IF(F39="","",I39/E43)</f>
        <v/>
      </c>
      <c r="F45" s="173" t="s">
        <v>133</v>
      </c>
      <c r="G45" s="174"/>
      <c r="H45" s="174"/>
      <c r="I45" s="174"/>
      <c r="J45" s="174"/>
    </row>
    <row r="46" spans="1:10" ht="15" customHeight="1" x14ac:dyDescent="0.25">
      <c r="B46" s="177" t="s">
        <v>134</v>
      </c>
      <c r="C46" s="177"/>
      <c r="D46" s="178"/>
      <c r="E46" s="84">
        <v>8.3000000000000007</v>
      </c>
      <c r="F46" s="175" t="s">
        <v>148</v>
      </c>
      <c r="G46" s="176"/>
      <c r="H46" s="81"/>
      <c r="I46" s="81"/>
      <c r="J46" s="81"/>
    </row>
    <row r="47" spans="1:10" x14ac:dyDescent="0.25">
      <c r="A47" s="62">
        <f>IF(E15="",0,LOOKUP(E15,'Emission Factors'!A40:A53,'Emission Factors'!D40:D53))</f>
        <v>0</v>
      </c>
      <c r="B47" s="171" t="s">
        <v>147</v>
      </c>
      <c r="C47" s="171"/>
      <c r="D47" s="171"/>
      <c r="E47" s="85">
        <v>100</v>
      </c>
      <c r="F47" s="172" t="s">
        <v>135</v>
      </c>
      <c r="G47" s="172"/>
      <c r="H47" s="172"/>
      <c r="I47" s="172"/>
      <c r="J47" s="172"/>
    </row>
    <row r="48" spans="1:10" x14ac:dyDescent="0.25">
      <c r="A48" s="62">
        <f>IF(F15="",0,LOOKUP(F15,'Emission Factors'!A40:A53,'Emission Factors'!D40:D53))</f>
        <v>0</v>
      </c>
    </row>
    <row r="49" spans="1:4" x14ac:dyDescent="0.25">
      <c r="A49" s="62" t="str">
        <f>IF(SUM(A47:A48)&lt;1,"",((A47+'Facility Processes'!A48)-(('Facility Processes'!A47*'Facility Processes'!A48)/100)))</f>
        <v/>
      </c>
      <c r="B49" s="62" t="s">
        <v>139</v>
      </c>
    </row>
    <row r="50" spans="1:4" x14ac:dyDescent="0.25">
      <c r="D50" s="62" t="s">
        <v>140</v>
      </c>
    </row>
    <row r="51" spans="1:4" x14ac:dyDescent="0.25">
      <c r="D51" s="62" t="s">
        <v>141</v>
      </c>
    </row>
    <row r="52" spans="1:4" x14ac:dyDescent="0.25">
      <c r="D52" s="62" t="s">
        <v>142</v>
      </c>
    </row>
    <row r="53" spans="1:4" x14ac:dyDescent="0.25">
      <c r="D53" s="77" t="s">
        <v>143</v>
      </c>
    </row>
  </sheetData>
  <sheetProtection algorithmName="SHA-512" hashValue="3cwyIfe6F3ASohsbF49k18FjCxtN4WsLC8uWg52089pd4ENad2evMkznNBOJcMHZPpQ5Zwr1XWyXdLfknSgxOA==" saltValue="PieoPxAP7xZi2DiHGBigIA==" spinCount="100000" sheet="1" objects="1" scenarios="1"/>
  <mergeCells count="49">
    <mergeCell ref="B25:B26"/>
    <mergeCell ref="C25:C26"/>
    <mergeCell ref="D25:D26"/>
    <mergeCell ref="B44:D44"/>
    <mergeCell ref="F44:J44"/>
    <mergeCell ref="H37:I37"/>
    <mergeCell ref="F37:G37"/>
    <mergeCell ref="E37:E38"/>
    <mergeCell ref="B43:D43"/>
    <mergeCell ref="F43:J43"/>
    <mergeCell ref="H31:H32"/>
    <mergeCell ref="B31:B32"/>
    <mergeCell ref="C31:C32"/>
    <mergeCell ref="J37:J38"/>
    <mergeCell ref="D31:D32"/>
    <mergeCell ref="B41:D41"/>
    <mergeCell ref="F41:J41"/>
    <mergeCell ref="B42:D42"/>
    <mergeCell ref="F42:J42"/>
    <mergeCell ref="B37:B38"/>
    <mergeCell ref="C37:C38"/>
    <mergeCell ref="D37:D38"/>
    <mergeCell ref="B45:D45"/>
    <mergeCell ref="B47:D47"/>
    <mergeCell ref="F47:J47"/>
    <mergeCell ref="F45:J45"/>
    <mergeCell ref="F46:G46"/>
    <mergeCell ref="B46:D46"/>
    <mergeCell ref="C18:C19"/>
    <mergeCell ref="B18:B19"/>
    <mergeCell ref="F18:F19"/>
    <mergeCell ref="G18:G19"/>
    <mergeCell ref="D18:D19"/>
    <mergeCell ref="E31:E32"/>
    <mergeCell ref="G31:G32"/>
    <mergeCell ref="F31:F32"/>
    <mergeCell ref="F5:F6"/>
    <mergeCell ref="G5:G6"/>
    <mergeCell ref="E12:F12"/>
    <mergeCell ref="F25:F26"/>
    <mergeCell ref="G25:G26"/>
    <mergeCell ref="B5:B6"/>
    <mergeCell ref="H12:H13"/>
    <mergeCell ref="B12:B13"/>
    <mergeCell ref="C12:C13"/>
    <mergeCell ref="D12:D13"/>
    <mergeCell ref="G12:G13"/>
    <mergeCell ref="C5:C6"/>
    <mergeCell ref="D5:D6"/>
  </mergeCells>
  <conditionalFormatting sqref="I7">
    <cfRule type="expression" dxfId="4" priority="31" stopIfTrue="1">
      <formula>$H$20="Natural Gas Usage (MMCF/yr)"</formula>
    </cfRule>
  </conditionalFormatting>
  <conditionalFormatting sqref="I8">
    <cfRule type="expression" dxfId="3" priority="32" stopIfTrue="1">
      <formula>$H$21="Natural Gas Usage (MMCF/yr)"</formula>
    </cfRule>
  </conditionalFormatting>
  <conditionalFormatting sqref="I9">
    <cfRule type="expression" dxfId="2" priority="33" stopIfTrue="1">
      <formula>$H$22="Natural Gas Usage (MMCF/yr)"</formula>
    </cfRule>
  </conditionalFormatting>
  <conditionalFormatting sqref="I10">
    <cfRule type="expression" dxfId="1" priority="45" stopIfTrue="1">
      <formula>#REF!="Natural Gas Usage (MMCF/yr)"</formula>
    </cfRule>
  </conditionalFormatting>
  <conditionalFormatting sqref="I11">
    <cfRule type="expression" dxfId="0" priority="46" stopIfTrue="1">
      <formula>#REF!="Natural Gas Usage (MMCF/yr)"</formula>
    </cfRule>
  </conditionalFormatting>
  <dataValidations count="12">
    <dataValidation type="list" allowBlank="1" showInputMessage="1" showErrorMessage="1" sqref="D7:D9">
      <formula1>Receive</formula1>
    </dataValidation>
    <dataValidation type="list" allowBlank="1" showInputMessage="1" showErrorMessage="1" sqref="D20:D22">
      <formula1>CHS</formula1>
    </dataValidation>
    <dataValidation type="list" allowBlank="1" showInputMessage="1" showErrorMessage="1" sqref="D27:D28">
      <formula1>Dryer</formula1>
    </dataValidation>
    <dataValidation type="list" allowBlank="1" showInputMessage="1" showErrorMessage="1" sqref="D33:D34">
      <formula1>Combust</formula1>
    </dataValidation>
    <dataValidation type="list" allowBlank="1" showInputMessage="1" showErrorMessage="1" sqref="E20:E22">
      <formula1>CISCon</formula1>
    </dataValidation>
    <dataValidation type="list" allowBlank="1" showInputMessage="1" showErrorMessage="1" sqref="E14:E15">
      <formula1>LControl</formula1>
    </dataValidation>
    <dataValidation type="list" allowBlank="1" showInputMessage="1" showErrorMessage="1" sqref="E7:E9">
      <formula1>RCon</formula1>
    </dataValidation>
    <dataValidation type="list" allowBlank="1" showInputMessage="1" showErrorMessage="1" sqref="D14:D15">
      <formula1>Loading</formula1>
    </dataValidation>
    <dataValidation type="list" allowBlank="1" showInputMessage="1" showErrorMessage="1" sqref="A39">
      <formula1>"roadcon"</formula1>
    </dataValidation>
    <dataValidation type="list" allowBlank="1" showInputMessage="1" showErrorMessage="1" sqref="E39">
      <formula1>RoadCon</formula1>
    </dataValidation>
    <dataValidation type="list" allowBlank="1" showInputMessage="1" showErrorMessage="1" sqref="E27:E28">
      <formula1>$A$41</formula1>
    </dataValidation>
    <dataValidation type="list" allowBlank="1" showInputMessage="1" showErrorMessage="1" sqref="F14:F15">
      <formula1>OilCon</formula1>
    </dataValidation>
  </dataValidations>
  <pageMargins left="0.25" right="0.25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opLeftCell="B1" zoomScaleNormal="100" workbookViewId="0">
      <selection activeCell="A25" sqref="A1:A1048576"/>
    </sheetView>
  </sheetViews>
  <sheetFormatPr defaultRowHeight="15" x14ac:dyDescent="0.25"/>
  <cols>
    <col min="1" max="1" width="0" style="19" hidden="1" customWidth="1"/>
    <col min="2" max="3" width="5" customWidth="1"/>
    <col min="4" max="4" width="23.85546875" bestFit="1" customWidth="1"/>
    <col min="5" max="5" width="9" bestFit="1" customWidth="1"/>
    <col min="6" max="6" width="11.42578125" customWidth="1"/>
    <col min="7" max="7" width="11" bestFit="1" customWidth="1"/>
    <col min="8" max="8" width="11.140625" style="4" customWidth="1"/>
    <col min="9" max="9" width="10.5703125" bestFit="1" customWidth="1"/>
    <col min="10" max="10" width="10.28515625" customWidth="1"/>
    <col min="11" max="11" width="18.85546875" customWidth="1"/>
    <col min="12" max="12" width="10.5703125" customWidth="1"/>
    <col min="13" max="13" width="17" customWidth="1"/>
    <col min="14" max="14" width="17.7109375" customWidth="1"/>
    <col min="15" max="15" width="15.5703125" customWidth="1"/>
  </cols>
  <sheetData>
    <row r="1" spans="2:15" ht="18.75" x14ac:dyDescent="0.3">
      <c r="B1" s="44" t="s">
        <v>58</v>
      </c>
      <c r="C1" s="45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</row>
    <row r="2" spans="2:15" s="19" customFormat="1" x14ac:dyDescent="0.25">
      <c r="B2" s="91" t="s">
        <v>155</v>
      </c>
      <c r="C2" s="45"/>
      <c r="D2" s="46"/>
      <c r="E2" s="46"/>
      <c r="F2" s="46"/>
      <c r="G2" s="46"/>
      <c r="H2" s="47"/>
      <c r="I2" s="46"/>
      <c r="J2" s="46"/>
      <c r="K2" s="46"/>
      <c r="L2" s="46"/>
      <c r="M2" s="46"/>
      <c r="N2" s="46"/>
      <c r="O2" s="46"/>
    </row>
    <row r="3" spans="2:15" s="113" customFormat="1" ht="33.75" customHeight="1" x14ac:dyDescent="0.25">
      <c r="B3" s="149" t="s">
        <v>50</v>
      </c>
      <c r="C3" s="149" t="s">
        <v>51</v>
      </c>
      <c r="D3" s="102" t="s">
        <v>52</v>
      </c>
      <c r="E3" s="149" t="s">
        <v>44</v>
      </c>
      <c r="F3" s="102" t="s">
        <v>49</v>
      </c>
      <c r="G3" s="102" t="s">
        <v>105</v>
      </c>
      <c r="H3" s="102" t="s">
        <v>53</v>
      </c>
      <c r="I3" s="102" t="s">
        <v>105</v>
      </c>
      <c r="J3" s="102" t="s">
        <v>106</v>
      </c>
      <c r="K3" s="102" t="s">
        <v>56</v>
      </c>
      <c r="L3" s="102" t="s">
        <v>57</v>
      </c>
      <c r="M3" s="102" t="s">
        <v>55</v>
      </c>
      <c r="N3" s="102" t="s">
        <v>54</v>
      </c>
      <c r="O3" s="102" t="s">
        <v>60</v>
      </c>
    </row>
    <row r="4" spans="2:15" x14ac:dyDescent="0.25">
      <c r="B4" s="48" t="str">
        <f>IF('Facility Processes'!B7="","",'Facility Processes'!B7)</f>
        <v/>
      </c>
      <c r="C4" s="48" t="str">
        <f>IF('Facility Processes'!C7="","",'Facility Processes'!C7)</f>
        <v/>
      </c>
      <c r="D4" s="49" t="str">
        <f>IF('Facility Processes'!D7="","",'Facility Processes'!D7)</f>
        <v/>
      </c>
      <c r="E4" s="49" t="str">
        <f>IF('Facility Processes'!D7="","",LOOKUP(D4,'Emission Factors'!$A$13:$A$15,'Emission Factors'!$B$13:$B$15))</f>
        <v/>
      </c>
      <c r="F4" s="48" t="str">
        <f>IF('Facility Processes'!F7="",(" "),'Facility Processes'!F7)</f>
        <v xml:space="preserve"> </v>
      </c>
      <c r="G4" s="48" t="str">
        <f>IF('Facility Processes'!F7="","","tons/hr")</f>
        <v/>
      </c>
      <c r="H4" s="50" t="str">
        <f>IF('Facility Processes'!D7="","",LOOKUP(D4,'Emission Factors'!$A$13:$A$15,'Emission Factors'!$D$13:$D$15))</f>
        <v/>
      </c>
      <c r="I4" s="48" t="str">
        <f>IF(H4="","",LOOKUP(D4,'Emission Factors'!$A$13:$A$15,'Emission Factors'!$E$13:$E$15))</f>
        <v/>
      </c>
      <c r="J4" s="48" t="str">
        <f t="shared" ref="J4:J13" si="0">IF(H4="","","AP-42")</f>
        <v/>
      </c>
      <c r="K4" s="51" t="str">
        <f>IF('Facility Processes'!D7="","",F4*H4)</f>
        <v/>
      </c>
      <c r="L4" s="48" t="str">
        <f>IF('Facility Processes'!E7="","",LOOKUP('Facility Processes'!E7,'Emission Factors'!$A$40:$A$53,'Emission Factors'!$D$40:$D$53))</f>
        <v/>
      </c>
      <c r="M4" s="51" t="str">
        <f>IF('Facility Processes'!E7="","",IF(L4=0,"",K4*((100-L4)/100)))</f>
        <v/>
      </c>
      <c r="N4" s="51" t="str">
        <f>IF('Facility Processes'!D7="","",IF(K4=MAX($K$4:$K$6),(MAX('Facility Information'!$E$32:$E$36)*1.2)*H4*(IF(L4="",(1/2000),((100-L4)/100/2000))),""))</f>
        <v/>
      </c>
      <c r="O4" s="51" t="str">
        <f>IF('Facility Processes'!D7="","",('Facility Processes'!G7)*H4*(IF(L4="",(1/2000),((100-L4)/100/2000))))</f>
        <v/>
      </c>
    </row>
    <row r="5" spans="2:15" x14ac:dyDescent="0.25">
      <c r="B5" s="48" t="str">
        <f>IF('Facility Processes'!B8="","",'Facility Processes'!B8)</f>
        <v/>
      </c>
      <c r="C5" s="48" t="str">
        <f>IF('Facility Processes'!C8="","",'Facility Processes'!C8)</f>
        <v/>
      </c>
      <c r="D5" s="49" t="str">
        <f>IF('Facility Processes'!D8="","",'Facility Processes'!D8)</f>
        <v/>
      </c>
      <c r="E5" s="49" t="str">
        <f>IF('Facility Processes'!D8="","",LOOKUP(D5,'Emission Factors'!$A$13:$A$15,'Emission Factors'!$B$13:$B$15))</f>
        <v/>
      </c>
      <c r="F5" s="48" t="str">
        <f>IF('Facility Processes'!F8="",(" "),'Facility Processes'!F8)</f>
        <v xml:space="preserve"> </v>
      </c>
      <c r="G5" s="48" t="str">
        <f>IF('Facility Processes'!F8="","","tons/hr")</f>
        <v/>
      </c>
      <c r="H5" s="50" t="str">
        <f>IF('Facility Processes'!D8="","",LOOKUP(D5,'Emission Factors'!$A$13:$A$15,'Emission Factors'!$D$13:$D$15))</f>
        <v/>
      </c>
      <c r="I5" s="48" t="str">
        <f>IF(H5="","",LOOKUP(D5,'Emission Factors'!$A$13:$A$15,'Emission Factors'!$E$13:$E$15))</f>
        <v/>
      </c>
      <c r="J5" s="48" t="str">
        <f t="shared" si="0"/>
        <v/>
      </c>
      <c r="K5" s="51" t="str">
        <f>IF('Facility Processes'!D8="","",F5*H5)</f>
        <v/>
      </c>
      <c r="L5" s="48" t="str">
        <f>IF('Facility Processes'!E8="","",LOOKUP('Facility Processes'!E8,'Emission Factors'!$A$40:$A$53,'Emission Factors'!$D$40:$D$53))</f>
        <v/>
      </c>
      <c r="M5" s="51" t="str">
        <f>IF('Facility Processes'!E8="","",IF(L5=0,"",K5*((100-L5)/100)))</f>
        <v/>
      </c>
      <c r="N5" s="51" t="str">
        <f>IF('Facility Processes'!D8="","",IF(K5=MAX($K$4:$K$6),(MAX('Facility Information'!$E$32:$E$36)*1.2)*H5*(IF(L5="",(1/2000),((100-L5)/100/2000))),""))</f>
        <v/>
      </c>
      <c r="O5" s="51" t="str">
        <f>IF('Facility Processes'!D8="","",('Facility Processes'!G8)*H5*(IF(L5="",(1/2000),((100-L5)/100/2000))))</f>
        <v/>
      </c>
    </row>
    <row r="6" spans="2:15" x14ac:dyDescent="0.25">
      <c r="B6" s="48" t="str">
        <f>IF('Facility Processes'!B9="","",'Facility Processes'!B9)</f>
        <v/>
      </c>
      <c r="C6" s="48" t="str">
        <f>IF('Facility Processes'!C9="","",'Facility Processes'!C9)</f>
        <v/>
      </c>
      <c r="D6" s="49" t="str">
        <f>IF('Facility Processes'!D9="","",'Facility Processes'!D9)</f>
        <v/>
      </c>
      <c r="E6" s="49" t="str">
        <f>IF('Facility Processes'!D9="","",LOOKUP(D6,'Emission Factors'!$A$13:$A$15,'Emission Factors'!$B$13:$B$15))</f>
        <v/>
      </c>
      <c r="F6" s="48" t="str">
        <f>IF('Facility Processes'!F9="",(" "),'Facility Processes'!F9)</f>
        <v xml:space="preserve"> </v>
      </c>
      <c r="G6" s="48" t="str">
        <f>IF('Facility Processes'!F9="","","tons/hr")</f>
        <v/>
      </c>
      <c r="H6" s="50" t="str">
        <f>IF('Facility Processes'!D9="","",LOOKUP(D6,'Emission Factors'!$A$13:$A$15,'Emission Factors'!$D$13:$D$15))</f>
        <v/>
      </c>
      <c r="I6" s="48" t="str">
        <f>IF(H6="","",LOOKUP(D6,'Emission Factors'!$A$13:$A$15,'Emission Factors'!$E$13:$E$15))</f>
        <v/>
      </c>
      <c r="J6" s="48" t="str">
        <f t="shared" si="0"/>
        <v/>
      </c>
      <c r="K6" s="51" t="str">
        <f>IF('Facility Processes'!D9="","",F6*H6)</f>
        <v/>
      </c>
      <c r="L6" s="48" t="str">
        <f>IF('Facility Processes'!E9="","",LOOKUP('Facility Processes'!E9,'Emission Factors'!$A$40:$A$53,'Emission Factors'!$D$40:$D$53))</f>
        <v/>
      </c>
      <c r="M6" s="51" t="str">
        <f>IF('Facility Processes'!E9="","",IF(L6=0,"",K6*((100-L6)/100)))</f>
        <v/>
      </c>
      <c r="N6" s="51" t="str">
        <f>IF('Facility Processes'!D9="","",IF(K6=MAX($K$4:$K$6),(MAX('Facility Information'!$E$32:$E$36)*1.2)*H6*(IF(L6="",(1/2000),((100-L6)/100/2000))),""))</f>
        <v/>
      </c>
      <c r="O6" s="51" t="str">
        <f>IF('Facility Processes'!D9="","",('Facility Processes'!G9)*H6*(IF(L6="",(1/2000),((100-L6)/100/2000))))</f>
        <v/>
      </c>
    </row>
    <row r="7" spans="2:15" x14ac:dyDescent="0.25">
      <c r="B7" s="48" t="str">
        <f>IF('Facility Processes'!B14="","",'Facility Processes'!B14)</f>
        <v/>
      </c>
      <c r="C7" s="48" t="str">
        <f>IF('Facility Processes'!C14="","",'Facility Processes'!C14)</f>
        <v/>
      </c>
      <c r="D7" s="49" t="str">
        <f>IF('Facility Processes'!D14="","",'Facility Processes'!D14)</f>
        <v/>
      </c>
      <c r="E7" s="48" t="str">
        <f>IF('Facility Processes'!D14="","",LOOKUP(D7,'Emission Factors'!$A$10:$A$12,'Emission Factors'!$B$10:$B$12))</f>
        <v/>
      </c>
      <c r="F7" s="48" t="str">
        <f>IF('Facility Processes'!G14="",(" "),'Facility Processes'!G14)</f>
        <v xml:space="preserve"> </v>
      </c>
      <c r="G7" s="48" t="str">
        <f>IF('Facility Processes'!G14="","","tons/hr")</f>
        <v/>
      </c>
      <c r="H7" s="48" t="str">
        <f>IF('Facility Processes'!D14="","",LOOKUP(D7,'Emission Factors'!$A$10:$A$12,'Emission Factors'!$D$10:$D$12))</f>
        <v/>
      </c>
      <c r="I7" s="48" t="str">
        <f>IF(H7="","",LOOKUP(D7,'Emission Factors'!$A$10:$A$12,'Emission Factors'!$E$10:$E$12))</f>
        <v/>
      </c>
      <c r="J7" s="48" t="str">
        <f t="shared" si="0"/>
        <v/>
      </c>
      <c r="K7" s="51" t="str">
        <f>IF('Facility Processes'!D14="","",F7*H7)</f>
        <v/>
      </c>
      <c r="L7" s="48" t="str">
        <f>IF('Facility Processes'!A45&lt;1,"",'Facility Processes'!A45)</f>
        <v/>
      </c>
      <c r="M7" s="51" t="str">
        <f>IF('Facility Processes'!E14="","",IF(L7=0,"",K7*((100-L7)/100)))</f>
        <v/>
      </c>
      <c r="N7" s="51" t="str">
        <f>IF('Facility Processes'!D14="","",IF(K7=MAX($K$7:$K$8),(MAX('Facility Information'!$E$32:$E$36)*1.2)*H7*(IF(L7="",(1/2000),((100-L7)/100/2000))),""))</f>
        <v/>
      </c>
      <c r="O7" s="51" t="str">
        <f>IF('Facility Processes'!D14="","",('Facility Processes'!H14)*H7*(IF(L7="",(1/2000),((100-L7)/100/2000))))</f>
        <v/>
      </c>
    </row>
    <row r="8" spans="2:15" x14ac:dyDescent="0.25">
      <c r="B8" s="48" t="str">
        <f>IF('Facility Processes'!B15="","",'Facility Processes'!B15)</f>
        <v/>
      </c>
      <c r="C8" s="48" t="str">
        <f>IF('Facility Processes'!C15="","",'Facility Processes'!C15)</f>
        <v/>
      </c>
      <c r="D8" s="49" t="str">
        <f>IF('Facility Processes'!D15="","",'Facility Processes'!D15)</f>
        <v/>
      </c>
      <c r="E8" s="48" t="str">
        <f>IF('Facility Processes'!D15="","",LOOKUP(D8,'Emission Factors'!$A$10:$A$12,'Emission Factors'!$B$10:$B$12))</f>
        <v/>
      </c>
      <c r="F8" s="48" t="str">
        <f>IF('Facility Processes'!G15="",(" "),'Facility Processes'!G15)</f>
        <v xml:space="preserve"> </v>
      </c>
      <c r="G8" s="48" t="str">
        <f>IF('Facility Processes'!G15="","","tons/hr")</f>
        <v/>
      </c>
      <c r="H8" s="48" t="str">
        <f>IF('Facility Processes'!D15="","",LOOKUP(D8,'Emission Factors'!$A$10:$A$12,'Emission Factors'!$D$10:$D$12))</f>
        <v/>
      </c>
      <c r="I8" s="48" t="str">
        <f>IF(H8="","",LOOKUP(D8,'Emission Factors'!$A$10:$A$12,'Emission Factors'!$E$10:$E$12))</f>
        <v/>
      </c>
      <c r="J8" s="48" t="str">
        <f t="shared" si="0"/>
        <v/>
      </c>
      <c r="K8" s="51" t="str">
        <f>IF('Facility Processes'!D15="","",F8*H8)</f>
        <v/>
      </c>
      <c r="L8" s="48" t="str">
        <f>IF('Facility Processes'!A49&lt;1,"",'Facility Processes'!A49)</f>
        <v/>
      </c>
      <c r="M8" s="51" t="str">
        <f>IF('Facility Processes'!E15="","",IF(L8=0,"",K8*((100-L8)/100)))</f>
        <v/>
      </c>
      <c r="N8" s="51" t="str">
        <f>IF('Facility Processes'!D15="","",IF(K8=MAX($K$7:$K$8),(MAX('Facility Information'!$E$32:$E$36)*1.2)*H8*(IF(L8="",(1/2000),((100-L8)/100/2000))),""))</f>
        <v/>
      </c>
      <c r="O8" s="51" t="str">
        <f>IF('Facility Processes'!D15="","",('Facility Processes'!H15)*H8*(IF(L8="",(1/2000),((100-L8)/100/2000))))</f>
        <v/>
      </c>
    </row>
    <row r="9" spans="2:15" x14ac:dyDescent="0.25">
      <c r="B9" s="48" t="str">
        <f>IF('Facility Processes'!B20="",(" "),'Facility Processes'!B20)</f>
        <v xml:space="preserve"> </v>
      </c>
      <c r="C9" s="48" t="str">
        <f>IF('Facility Processes'!C20="",(" "),'Facility Processes'!C20)</f>
        <v xml:space="preserve"> </v>
      </c>
      <c r="D9" s="49" t="str">
        <f>IF('Facility Processes'!D20="",(" "),'Facility Processes'!D20)</f>
        <v xml:space="preserve"> </v>
      </c>
      <c r="E9" s="49" t="str">
        <f>IF('Facility Processes'!D20="","",LOOKUP(D9,'Emission Factors'!$A$7:$A$9,'Emission Factors'!$B$7:$B$9))</f>
        <v/>
      </c>
      <c r="F9" s="48" t="str">
        <f>IF('Facility Processes'!F20="",(" "),'Facility Processes'!F20)</f>
        <v xml:space="preserve"> </v>
      </c>
      <c r="G9" s="48" t="str">
        <f>IF('Facility Processes'!F20="","","tons/hr")</f>
        <v/>
      </c>
      <c r="H9" s="48" t="str">
        <f>IF('Facility Processes'!D20="","",LOOKUP(D9,'Emission Factors'!$A$7:$A$9,'Emission Factors'!$D$7:$D$9))</f>
        <v/>
      </c>
      <c r="I9" s="48" t="str">
        <f>IF(H9="","",LOOKUP(D9,'Emission Factors'!$A$7:$A$9,'Emission Factors'!$E$7:$E$9))</f>
        <v/>
      </c>
      <c r="J9" s="48" t="str">
        <f t="shared" si="0"/>
        <v/>
      </c>
      <c r="K9" s="51" t="str">
        <f>IF('Facility Processes'!D20="","",F9*H9)</f>
        <v/>
      </c>
      <c r="L9" s="48" t="str">
        <f>IF('Facility Processes'!E20="","",LOOKUP('Facility Processes'!E20,'Emission Factors'!$A$40:$A$53,'Emission Factors'!$D$40:$D$53))</f>
        <v/>
      </c>
      <c r="M9" s="51" t="str">
        <f>IF('Facility Processes'!E20="","",IF(L9=0,"",K9*((100-L9)/100)))</f>
        <v/>
      </c>
      <c r="N9" s="51" t="str">
        <f>IF('Facility Processes'!D20="","",(MAX('Facility Information'!$E$32:$E$36)*1.2)*H9*(IF(L9="",(1/2000),((100-L9)/100/2000))))</f>
        <v/>
      </c>
      <c r="O9" s="51" t="str">
        <f>IF('Facility Processes'!D20="","",('Facility Processes'!G20)*H9*(IF(L9="",(1/2000),((100-L9)/100/2000))))</f>
        <v/>
      </c>
    </row>
    <row r="10" spans="2:15" x14ac:dyDescent="0.25">
      <c r="B10" s="48" t="str">
        <f>IF('Facility Processes'!B21="",(" "),'Facility Processes'!B21)</f>
        <v xml:space="preserve"> </v>
      </c>
      <c r="C10" s="48" t="str">
        <f>IF('Facility Processes'!C21="",(" "),'Facility Processes'!C21)</f>
        <v xml:space="preserve"> </v>
      </c>
      <c r="D10" s="49" t="str">
        <f>IF('Facility Processes'!D21="",(" "),'Facility Processes'!D21)</f>
        <v xml:space="preserve"> </v>
      </c>
      <c r="E10" s="49" t="str">
        <f>IF('Facility Processes'!D21="","",LOOKUP(D10,'Emission Factors'!$A$7:$A$9,'Emission Factors'!$B$7:$B$9))</f>
        <v/>
      </c>
      <c r="F10" s="48" t="str">
        <f>IF('Facility Processes'!F21="",(" "),'Facility Processes'!F21)</f>
        <v xml:space="preserve"> </v>
      </c>
      <c r="G10" s="48" t="str">
        <f>IF('Facility Processes'!F21="","","tons/hr")</f>
        <v/>
      </c>
      <c r="H10" s="48" t="str">
        <f>IF('Facility Processes'!D21="","",LOOKUP(D10,'Emission Factors'!$A$7:$A$9,'Emission Factors'!$D$7:$D$9))</f>
        <v/>
      </c>
      <c r="I10" s="48" t="str">
        <f>IF(H10="","",LOOKUP(D10,'Emission Factors'!$A$7:$A$9,'Emission Factors'!$E$7:$E$9))</f>
        <v/>
      </c>
      <c r="J10" s="48" t="str">
        <f t="shared" si="0"/>
        <v/>
      </c>
      <c r="K10" s="51" t="str">
        <f>IF('Facility Processes'!D21="","",F10*H10)</f>
        <v/>
      </c>
      <c r="L10" s="48" t="str">
        <f>IF('Facility Processes'!E21="","",LOOKUP('Facility Processes'!E21,'Emission Factors'!$A$40:$A$53,'Emission Factors'!$D$40:$D$53))</f>
        <v/>
      </c>
      <c r="M10" s="51" t="str">
        <f>IF('Facility Processes'!E21="","",IF(L10=0,"",K10*((100-L10)/100)))</f>
        <v/>
      </c>
      <c r="N10" s="51" t="str">
        <f>IF('Facility Processes'!D21="","",(MAX('Facility Information'!$E$32:$E$36)*1.2)*H10*(IF(L10="",(1/2000),((100-L10)/100/2000))))</f>
        <v/>
      </c>
      <c r="O10" s="51" t="str">
        <f>IF('Facility Processes'!D21="","",('Facility Processes'!G21)*H10*(IF(L10="",(1/2000),((100-L10)/100/2000))))</f>
        <v/>
      </c>
    </row>
    <row r="11" spans="2:15" x14ac:dyDescent="0.25">
      <c r="B11" s="48" t="str">
        <f>IF('Facility Processes'!B22="",(" "),'Facility Processes'!B22)</f>
        <v xml:space="preserve"> </v>
      </c>
      <c r="C11" s="48" t="str">
        <f>IF('Facility Processes'!C22="",(" "),'Facility Processes'!C22)</f>
        <v xml:space="preserve"> </v>
      </c>
      <c r="D11" s="49" t="str">
        <f>IF('Facility Processes'!D22="",(" "),'Facility Processes'!D22)</f>
        <v xml:space="preserve"> </v>
      </c>
      <c r="E11" s="49" t="str">
        <f>IF('Facility Processes'!D22="","",LOOKUP(D11,'Emission Factors'!$A$7:$A$9,'Emission Factors'!$B$7:$B$9))</f>
        <v/>
      </c>
      <c r="F11" s="48" t="str">
        <f>IF('Facility Processes'!F22="",(" "),'Facility Processes'!F22)</f>
        <v xml:space="preserve"> </v>
      </c>
      <c r="G11" s="48" t="str">
        <f>IF('Facility Processes'!F22="","","tons/hr")</f>
        <v/>
      </c>
      <c r="H11" s="48" t="str">
        <f>IF('Facility Processes'!D22="","",LOOKUP(D11,'Emission Factors'!$A$7:$A$9,'Emission Factors'!$D$7:$D$9))</f>
        <v/>
      </c>
      <c r="I11" s="48" t="str">
        <f>IF(H11="","",LOOKUP(D11,'Emission Factors'!$A$7:$A$9,'Emission Factors'!$E$7:$E$9))</f>
        <v/>
      </c>
      <c r="J11" s="48" t="str">
        <f t="shared" si="0"/>
        <v/>
      </c>
      <c r="K11" s="51" t="str">
        <f>IF('Facility Processes'!D22="","",F11*H11)</f>
        <v/>
      </c>
      <c r="L11" s="48" t="str">
        <f>IF('Facility Processes'!E22="","",LOOKUP('Facility Processes'!E22,'Emission Factors'!$A$40:$A$53,'Emission Factors'!$D$40:$D$53))</f>
        <v/>
      </c>
      <c r="M11" s="51" t="str">
        <f>IF('Facility Processes'!E22="","",IF(L11=0,"",K11*((100-L11)/100)))</f>
        <v/>
      </c>
      <c r="N11" s="51" t="str">
        <f>IF('Facility Processes'!D22="","",(MAX('Facility Information'!$E$32:$E$36)*1.2)*H11*(IF(L11="",(1/2000),((100-L11)/100/2000))))</f>
        <v/>
      </c>
      <c r="O11" s="51" t="str">
        <f>IF('Facility Processes'!D22="","",('Facility Processes'!G22)*H11*(IF(L11="",(1/2000),((100-L11)/100/2000))))</f>
        <v/>
      </c>
    </row>
    <row r="12" spans="2:15" x14ac:dyDescent="0.25">
      <c r="B12" s="48" t="str">
        <f>IF('Facility Processes'!B27="",(" "),'Facility Processes'!B27)</f>
        <v xml:space="preserve"> </v>
      </c>
      <c r="C12" s="48" t="str">
        <f>IF('Facility Processes'!C27="",(" "),'Facility Processes'!C27)</f>
        <v xml:space="preserve"> </v>
      </c>
      <c r="D12" s="49" t="str">
        <f>IF('Facility Processes'!D27="",(" "),'Facility Processes'!D27)</f>
        <v xml:space="preserve"> </v>
      </c>
      <c r="E12" s="49" t="str">
        <f>IF('Facility Processes'!D27="","",LOOKUP(D12,'Emission Factors'!$A$5:$A$6,'Emission Factors'!$B$5:$B$6))</f>
        <v/>
      </c>
      <c r="F12" s="48" t="str">
        <f>IF('Facility Processes'!F27="",(" "),'Facility Processes'!F27)</f>
        <v xml:space="preserve"> </v>
      </c>
      <c r="G12" s="48" t="str">
        <f>IF('Facility Processes'!F27="","","tons/hr")</f>
        <v/>
      </c>
      <c r="H12" s="48" t="str">
        <f>IF('Facility Processes'!D27="","",LOOKUP(D12,'Emission Factors'!$A$5:$A$6,'Emission Factors'!$D$5:$D$6))</f>
        <v/>
      </c>
      <c r="I12" s="48" t="str">
        <f>IF(H12="","",LOOKUP(D12,'Emission Factors'!$A$5:$A$6,'Emission Factors'!$E$5:$E$6))</f>
        <v/>
      </c>
      <c r="J12" s="48" t="str">
        <f t="shared" si="0"/>
        <v/>
      </c>
      <c r="K12" s="51" t="str">
        <f>IF('Facility Processes'!D27="","",F12*H12)</f>
        <v/>
      </c>
      <c r="L12" s="48" t="str">
        <f>IF('Facility Processes'!E27="","",LOOKUP('Facility Processes'!E27,'Emission Factors'!$A$40:$A$53,'Emission Factors'!$D$40:$D$53))</f>
        <v/>
      </c>
      <c r="M12" s="51" t="str">
        <f>IF('Facility Processes'!E27="","",IF(L12=0,"",K12*((100-L12)/100)))</f>
        <v/>
      </c>
      <c r="N12" s="51" t="str">
        <f>IF('Facility Processes'!D27="","",IF(K12=MAX($K$12:$K$13),(MAX('Facility Information'!$E$32:$E$36)*1.2)*H12*(IF(L12="",(1/2000),((100-L12)/100/2000))),""))</f>
        <v/>
      </c>
      <c r="O12" s="51" t="str">
        <f>IF('Facility Processes'!D27="","",('Facility Processes'!G27)*H12*(IF(L12="",(1/2000),((100-L12)/100/2000))))</f>
        <v/>
      </c>
    </row>
    <row r="13" spans="2:15" x14ac:dyDescent="0.25">
      <c r="B13" s="48" t="str">
        <f>IF('Facility Processes'!B28="",(" "),'Facility Processes'!B28)</f>
        <v xml:space="preserve"> </v>
      </c>
      <c r="C13" s="48" t="str">
        <f>IF('Facility Processes'!C28="",(" "),'Facility Processes'!C28)</f>
        <v xml:space="preserve"> </v>
      </c>
      <c r="D13" s="49" t="str">
        <f>IF('Facility Processes'!D28="",(" "),'Facility Processes'!D28)</f>
        <v xml:space="preserve"> </v>
      </c>
      <c r="E13" s="49" t="str">
        <f>IF('Facility Processes'!D28="","",LOOKUP(D13,'Emission Factors'!$A$5:$A$6,'Emission Factors'!$B$5:$B$6))</f>
        <v/>
      </c>
      <c r="F13" s="48" t="str">
        <f>IF('Facility Processes'!F28="",(" "),'Facility Processes'!F28)</f>
        <v xml:space="preserve"> </v>
      </c>
      <c r="G13" s="48" t="str">
        <f>IF('Facility Processes'!F28="","","tons/hr")</f>
        <v/>
      </c>
      <c r="H13" s="48" t="str">
        <f>IF('Facility Processes'!D28="","",LOOKUP(D13,'Emission Factors'!$A$5:$A$6,'Emission Factors'!$D$5:$D$6))</f>
        <v/>
      </c>
      <c r="I13" s="48" t="str">
        <f>IF(H13="","",LOOKUP(D13,'Emission Factors'!$A$5:$A$6,'Emission Factors'!$E$5:$E$6))</f>
        <v/>
      </c>
      <c r="J13" s="48" t="str">
        <f t="shared" si="0"/>
        <v/>
      </c>
      <c r="K13" s="51" t="str">
        <f>IF('Facility Processes'!D28="","",F13*H13)</f>
        <v/>
      </c>
      <c r="L13" s="48" t="str">
        <f>IF('Facility Processes'!E28="","",LOOKUP('Facility Processes'!E28,'Emission Factors'!$A$40:$A$53,'Emission Factors'!$D$40:$D$53))</f>
        <v/>
      </c>
      <c r="M13" s="51" t="str">
        <f>IF('Facility Processes'!E28="","",IF(L13=0,"",K13*((100-L13)/100)))</f>
        <v/>
      </c>
      <c r="N13" s="51" t="str">
        <f>IF('Facility Processes'!D28="","",IF(K13=MAX($K$12:$K$13),(MAX('Facility Information'!$E$32:$E$36)*1.2)*H13*(IF(L13="",(1/2000),((100-L13)/100/2000))),""))</f>
        <v/>
      </c>
      <c r="O13" s="51" t="str">
        <f>IF('Facility Processes'!D28="","",('Facility Processes'!G28)*H13*(IF(L13="",(1/2000),((100-L13)/100/2000))))</f>
        <v/>
      </c>
    </row>
    <row r="14" spans="2:15" s="19" customFormat="1" x14ac:dyDescent="0.25">
      <c r="B14" s="48"/>
      <c r="C14" s="48"/>
      <c r="D14" s="49" t="str">
        <f>IF('Facility Processes'!F39="","",'Facility Processes'!D39)</f>
        <v/>
      </c>
      <c r="E14" s="49" t="str">
        <f>IF('Facility Processes'!F39="","","30205054")</f>
        <v/>
      </c>
      <c r="F14" s="48" t="str">
        <f>IF(H14="","",'Facility Processes'!E44*'Facility Processes'!J39/8760)</f>
        <v/>
      </c>
      <c r="G14" s="48" t="str">
        <f>IF(H14="","","vmt/hr")</f>
        <v/>
      </c>
      <c r="H14" s="48" t="str">
        <f>IF('Facility Processes'!F39="","",(0.15*(('Facility Processes'!E46/12)^0.9)*(('Facility Processes'!E42/3)^0.45)*((365-'Facility Processes'!E47)/365)))</f>
        <v/>
      </c>
      <c r="I14" s="48" t="str">
        <f>IF(H14="","","lb/vmt")</f>
        <v/>
      </c>
      <c r="J14" s="48" t="str">
        <f>IF(H14="","","AP-42")</f>
        <v/>
      </c>
      <c r="K14" s="51" t="str">
        <f>IF(H14="","",N14*2000/8760)</f>
        <v/>
      </c>
      <c r="L14" s="48" t="str">
        <f>IF('Facility Processes'!E39="","",'Emission Factors'!$B$31)</f>
        <v/>
      </c>
      <c r="M14" s="51" t="str">
        <f>IF(L14="","",N14*((100-L14)/100)*2000/8760)</f>
        <v/>
      </c>
      <c r="N14" s="51" t="str">
        <f>IF(H14="","",IF(L14="",H14*'Facility Processes'!E44*'Facility Processes'!J39/2000,H14*'Facility Processes'!E44*'Facility Processes'!J39/2000*(100-L14)/100))</f>
        <v/>
      </c>
      <c r="O14" s="51" t="str">
        <f>IF(H14="","",IF(L14="",'Facility Processes'!E45*'Facility Processes'!J39*H14/2000,'Facility Processes'!E45*'Facility Processes'!J39*H14/2000*((100-L14)/100)))</f>
        <v/>
      </c>
    </row>
    <row r="15" spans="2:15" x14ac:dyDescent="0.25">
      <c r="B15" s="47"/>
      <c r="C15" s="47"/>
      <c r="D15" s="46"/>
      <c r="E15" s="46"/>
      <c r="F15" s="47"/>
      <c r="G15" s="47"/>
      <c r="H15" s="47"/>
      <c r="I15" s="47"/>
      <c r="J15" s="47"/>
      <c r="K15" s="52"/>
      <c r="L15" s="47"/>
      <c r="M15" s="51" t="s">
        <v>76</v>
      </c>
      <c r="N15" s="51">
        <f>SUM(N4:N14)</f>
        <v>0</v>
      </c>
      <c r="O15" s="51">
        <f>SUM(O4:O14)</f>
        <v>0</v>
      </c>
    </row>
    <row r="16" spans="2:15" ht="18.75" x14ac:dyDescent="0.3">
      <c r="B16" s="44" t="s">
        <v>59</v>
      </c>
      <c r="C16" s="45"/>
      <c r="D16" s="46"/>
      <c r="E16" s="46"/>
      <c r="F16" s="47"/>
      <c r="G16" s="47"/>
      <c r="H16" s="47"/>
      <c r="I16" s="46"/>
      <c r="J16" s="46"/>
      <c r="K16" s="46"/>
      <c r="L16" s="46"/>
      <c r="M16" s="46"/>
      <c r="N16" s="46"/>
      <c r="O16" s="46"/>
    </row>
    <row r="17" spans="2:15" s="113" customFormat="1" ht="31.5" customHeight="1" x14ac:dyDescent="0.25">
      <c r="B17" s="103" t="s">
        <v>50</v>
      </c>
      <c r="C17" s="103" t="s">
        <v>51</v>
      </c>
      <c r="D17" s="105" t="s">
        <v>52</v>
      </c>
      <c r="E17" s="103" t="s">
        <v>44</v>
      </c>
      <c r="F17" s="105" t="s">
        <v>49</v>
      </c>
      <c r="G17" s="102" t="s">
        <v>105</v>
      </c>
      <c r="H17" s="105" t="s">
        <v>53</v>
      </c>
      <c r="I17" s="102" t="s">
        <v>105</v>
      </c>
      <c r="J17" s="102" t="s">
        <v>106</v>
      </c>
      <c r="K17" s="105" t="s">
        <v>56</v>
      </c>
      <c r="L17" s="105" t="s">
        <v>57</v>
      </c>
      <c r="M17" s="105" t="s">
        <v>55</v>
      </c>
      <c r="N17" s="105" t="s">
        <v>54</v>
      </c>
      <c r="O17" s="105" t="s">
        <v>60</v>
      </c>
    </row>
    <row r="18" spans="2:15" x14ac:dyDescent="0.25">
      <c r="B18" s="48" t="str">
        <f>IF('Facility Processes'!B7="","",'Facility Processes'!B7)</f>
        <v/>
      </c>
      <c r="C18" s="48" t="str">
        <f>IF('Facility Processes'!C7="","",'Facility Processes'!C7)</f>
        <v/>
      </c>
      <c r="D18" s="49" t="str">
        <f>IF('Facility Processes'!D7="","",'Facility Processes'!D7)</f>
        <v/>
      </c>
      <c r="E18" s="49" t="str">
        <f>IF('Facility Processes'!D7="","",LOOKUP(D18,'Emission Factors'!$A$13:$A$15,'Emission Factors'!$B$13:$B$15))</f>
        <v/>
      </c>
      <c r="F18" s="48" t="str">
        <f>IF('Facility Processes'!F7="",(" "),'Facility Processes'!F7)</f>
        <v xml:space="preserve"> </v>
      </c>
      <c r="G18" s="48" t="str">
        <f>IF('Facility Processes'!F7="","","tons/hr")</f>
        <v/>
      </c>
      <c r="H18" s="48" t="str">
        <f>IF('Facility Processes'!D7="","",LOOKUP(D18,'Emission Factors'!$A$13:$A$15,'Emission Factors'!$F$13:$F$15))</f>
        <v/>
      </c>
      <c r="I18" s="48" t="str">
        <f>IF(H18="","",LOOKUP(D18,'Emission Factors'!$A$13:$A$15,'Emission Factors'!$G$13:$G$15))</f>
        <v/>
      </c>
      <c r="J18" s="48" t="str">
        <f t="shared" ref="J18:J27" si="1">IF(H18="","","AP-42")</f>
        <v/>
      </c>
      <c r="K18" s="51" t="str">
        <f>IF('Facility Processes'!D7="","",F18*H18)</f>
        <v/>
      </c>
      <c r="L18" s="48" t="str">
        <f>IF('Facility Processes'!E7="","",LOOKUP('Facility Processes'!E7,'Emission Factors'!$A$40:$A$53,'Emission Factors'!$D$40:$D$53))</f>
        <v/>
      </c>
      <c r="M18" s="51" t="str">
        <f>IF('Facility Processes'!E7="","",IF(L18=0,"",K18*((100-L18)/100)))</f>
        <v/>
      </c>
      <c r="N18" s="51" t="str">
        <f>IF('Facility Processes'!D7="","",IF(K18=MAX($K$18:$K$20),(MAX('Facility Information'!$E$32:$E$36)*1.2)*H18*(IF(L18="",(1/2000),((100-L18)/100/2000))),""))</f>
        <v/>
      </c>
      <c r="O18" s="51" t="str">
        <f>IF('Facility Processes'!D7="","",('Facility Processes'!G7)*H18*(IF(L18="",(1/2000),((100-L18)/100/2000))))</f>
        <v/>
      </c>
    </row>
    <row r="19" spans="2:15" x14ac:dyDescent="0.25">
      <c r="B19" s="48" t="str">
        <f>IF('Facility Processes'!B8="","",'Facility Processes'!B8)</f>
        <v/>
      </c>
      <c r="C19" s="48" t="str">
        <f>IF('Facility Processes'!C8="","",'Facility Processes'!C8)</f>
        <v/>
      </c>
      <c r="D19" s="49" t="str">
        <f>IF('Facility Processes'!D8="","",'Facility Processes'!D8)</f>
        <v/>
      </c>
      <c r="E19" s="49" t="str">
        <f>IF('Facility Processes'!D8="","",LOOKUP(D19,'Emission Factors'!$A$13:$A$15,'Emission Factors'!$B$13:$B$15))</f>
        <v/>
      </c>
      <c r="F19" s="48" t="str">
        <f>IF('Facility Processes'!F8="",(" "),'Facility Processes'!F8)</f>
        <v xml:space="preserve"> </v>
      </c>
      <c r="G19" s="48" t="str">
        <f>IF('Facility Processes'!F8="","","tons/hr")</f>
        <v/>
      </c>
      <c r="H19" s="48" t="str">
        <f>IF('Facility Processes'!D8="","",LOOKUP(D19,'Emission Factors'!$A$13:$A$15,'Emission Factors'!$F$13:$F$15))</f>
        <v/>
      </c>
      <c r="I19" s="48" t="str">
        <f>IF(H19="","",LOOKUP(D19,'Emission Factors'!$A$13:$A$15,'Emission Factors'!$G$13:$G$15))</f>
        <v/>
      </c>
      <c r="J19" s="48" t="str">
        <f t="shared" si="1"/>
        <v/>
      </c>
      <c r="K19" s="51" t="str">
        <f>IF('Facility Processes'!D8="","",F19*H19)</f>
        <v/>
      </c>
      <c r="L19" s="48" t="str">
        <f>IF('Facility Processes'!E8="","",LOOKUP('Facility Processes'!E8,'Emission Factors'!$A$40:$A$53,'Emission Factors'!$D$40:$D$53))</f>
        <v/>
      </c>
      <c r="M19" s="51" t="str">
        <f>IF('Facility Processes'!E8="","",IF(L19=0,"",K19*((100-L19)/100)))</f>
        <v/>
      </c>
      <c r="N19" s="51" t="str">
        <f>IF('Facility Processes'!D8="","",IF(K19=MAX($K$18:$K$20),(MAX('Facility Information'!$E$32:$E$36)*1.2)*H19*(IF(L19="",(1/2000),((100-L19)/100/2000))),""))</f>
        <v/>
      </c>
      <c r="O19" s="51" t="str">
        <f>IF('Facility Processes'!D8="","",('Facility Processes'!G8)*H19*(IF(L19="",(1/2000),((100-L19)/100/2000))))</f>
        <v/>
      </c>
    </row>
    <row r="20" spans="2:15" x14ac:dyDescent="0.25">
      <c r="B20" s="48" t="str">
        <f>IF('Facility Processes'!B9="","",'Facility Processes'!B9)</f>
        <v/>
      </c>
      <c r="C20" s="48" t="str">
        <f>IF('Facility Processes'!C9="","",'Facility Processes'!C9)</f>
        <v/>
      </c>
      <c r="D20" s="49" t="str">
        <f>IF('Facility Processes'!D9="","",'Facility Processes'!D9)</f>
        <v/>
      </c>
      <c r="E20" s="49" t="str">
        <f>IF('Facility Processes'!D9="","",LOOKUP(D20,'Emission Factors'!$A$13:$A$15,'Emission Factors'!$B$13:$B$15))</f>
        <v/>
      </c>
      <c r="F20" s="48" t="str">
        <f>IF('Facility Processes'!F9="",(" "),'Facility Processes'!F9)</f>
        <v xml:space="preserve"> </v>
      </c>
      <c r="G20" s="48" t="str">
        <f>IF('Facility Processes'!F9="","","tons/hr")</f>
        <v/>
      </c>
      <c r="H20" s="48" t="str">
        <f>IF('Facility Processes'!D9="","",LOOKUP(D20,'Emission Factors'!$A$13:$A$15,'Emission Factors'!$F$13:$F$15))</f>
        <v/>
      </c>
      <c r="I20" s="48" t="str">
        <f>IF(H20="","",LOOKUP(D20,'Emission Factors'!$A$13:$A$15,'Emission Factors'!$G$13:$G$15))</f>
        <v/>
      </c>
      <c r="J20" s="48" t="str">
        <f t="shared" si="1"/>
        <v/>
      </c>
      <c r="K20" s="51" t="str">
        <f>IF('Facility Processes'!D9="","",F20*H20)</f>
        <v/>
      </c>
      <c r="L20" s="48" t="str">
        <f>IF('Facility Processes'!E9="","",LOOKUP('Facility Processes'!E9,'Emission Factors'!$A$40:$A$53,'Emission Factors'!$D$40:$D$53))</f>
        <v/>
      </c>
      <c r="M20" s="51" t="str">
        <f>IF('Facility Processes'!E9="","",IF(L20=0,"",K20*((100-L20)/100)))</f>
        <v/>
      </c>
      <c r="N20" s="51" t="str">
        <f>IF('Facility Processes'!D9="","",IF(K20=MAX($K$18:$K$20),(MAX('Facility Information'!$E$32:$E$36)*1.2)*H20*(IF(L20="",(1/2000),((100-L20)/100/2000))),""))</f>
        <v/>
      </c>
      <c r="O20" s="51" t="str">
        <f>IF('Facility Processes'!D9="","",('Facility Processes'!G9)*H20*(IF(L20="",(1/2000),((100-L20)/100/2000))))</f>
        <v/>
      </c>
    </row>
    <row r="21" spans="2:15" x14ac:dyDescent="0.25">
      <c r="B21" s="48" t="str">
        <f>IF('Facility Processes'!B14="","",'Facility Processes'!B14)</f>
        <v/>
      </c>
      <c r="C21" s="48" t="str">
        <f>IF('Facility Processes'!C14="","",'Facility Processes'!C14)</f>
        <v/>
      </c>
      <c r="D21" s="49" t="str">
        <f>IF('Facility Processes'!D14="","",'Facility Processes'!D14)</f>
        <v/>
      </c>
      <c r="E21" s="48" t="str">
        <f>IF('Facility Processes'!D14="","",LOOKUP(D21,'Emission Factors'!$A$10:$A$12,'Emission Factors'!$B$10:$B$12))</f>
        <v/>
      </c>
      <c r="F21" s="48" t="str">
        <f>IF('Facility Processes'!G14="",(" "),'Facility Processes'!G14)</f>
        <v xml:space="preserve"> </v>
      </c>
      <c r="G21" s="48" t="str">
        <f>IF('Facility Processes'!G14="","","tons/hr")</f>
        <v/>
      </c>
      <c r="H21" s="48" t="str">
        <f>IF('Facility Processes'!D14="","",LOOKUP(D21,'Emission Factors'!$A$10:$A$12,'Emission Factors'!$F$10:$F$12))</f>
        <v/>
      </c>
      <c r="I21" s="48" t="str">
        <f>IF(H7="","",LOOKUP(D7,'Emission Factors'!$A$10:$A$12,'Emission Factors'!$G$10:$G$12))</f>
        <v/>
      </c>
      <c r="J21" s="48" t="str">
        <f t="shared" si="1"/>
        <v/>
      </c>
      <c r="K21" s="51" t="str">
        <f>IF('Facility Processes'!D14="","",F21*H21)</f>
        <v/>
      </c>
      <c r="L21" s="48" t="str">
        <f>IF('Facility Processes'!A45&lt;1,"",'Facility Processes'!A45)</f>
        <v/>
      </c>
      <c r="M21" s="51" t="str">
        <f>IF('Facility Processes'!E14="","",IF(L21=0,"",K21*((100-L21)/100)))</f>
        <v/>
      </c>
      <c r="N21" s="51" t="str">
        <f>IF('Facility Processes'!D14="","",IF(K21=MAX($K$21:$K$22),(MAX('Facility Information'!$E$32:$E$36)*1.2)*H21*(IF(L21="",(1/2000),((100-L21)/100/2000))),""))</f>
        <v/>
      </c>
      <c r="O21" s="51" t="str">
        <f>IF('Facility Processes'!D14="","",('Facility Processes'!H14)*H21*(IF(L21="",(1/2000),((100-L21)/100/2000))))</f>
        <v/>
      </c>
    </row>
    <row r="22" spans="2:15" x14ac:dyDescent="0.25">
      <c r="B22" s="48" t="str">
        <f>IF('Facility Processes'!B15="","",'Facility Processes'!B15)</f>
        <v/>
      </c>
      <c r="C22" s="48" t="str">
        <f>IF('Facility Processes'!C15="","",'Facility Processes'!C15)</f>
        <v/>
      </c>
      <c r="D22" s="49" t="str">
        <f>IF('Facility Processes'!D15="","",'Facility Processes'!D15)</f>
        <v/>
      </c>
      <c r="E22" s="48" t="str">
        <f>IF('Facility Processes'!D15="","",LOOKUP(D22,'Emission Factors'!$A$10:$A$12,'Emission Factors'!$B$10:$B$12))</f>
        <v/>
      </c>
      <c r="F22" s="48" t="str">
        <f>IF('Facility Processes'!G15="",(" "),'Facility Processes'!G15)</f>
        <v xml:space="preserve"> </v>
      </c>
      <c r="G22" s="48" t="str">
        <f>IF('Facility Processes'!G15="","","tons/hr")</f>
        <v/>
      </c>
      <c r="H22" s="48" t="str">
        <f>IF('Facility Processes'!D15="","",LOOKUP(D22,'Emission Factors'!$A$10:$A$12,'Emission Factors'!$F$10:$F$12))</f>
        <v/>
      </c>
      <c r="I22" s="48" t="str">
        <f>IF(H8="","",LOOKUP(D8,'Emission Factors'!$A$10:$A$12,'Emission Factors'!$G$10:$G$12))</f>
        <v/>
      </c>
      <c r="J22" s="48" t="str">
        <f t="shared" si="1"/>
        <v/>
      </c>
      <c r="K22" s="51" t="str">
        <f>IF('Facility Processes'!D15="","",F22*H22)</f>
        <v/>
      </c>
      <c r="L22" s="48" t="str">
        <f>IF('Facility Processes'!A49&lt;1,"",'Facility Processes'!A49)</f>
        <v/>
      </c>
      <c r="M22" s="51" t="str">
        <f>IF('Facility Processes'!E15="","",IF(L22=0,"",K22*((100-L22)/100)))</f>
        <v/>
      </c>
      <c r="N22" s="51" t="str">
        <f>IF('Facility Processes'!D15="","",IF(K22=MAX($K$21:$K$22),(MAX('Facility Information'!$E$32:$E$36)*1.2)*H22*(IF(L22="",(1/2000),((100-L22)/100/2000))),""))</f>
        <v/>
      </c>
      <c r="O22" s="51" t="str">
        <f>IF('Facility Processes'!D15="","",('Facility Processes'!H15)*H22*(IF(L22="",(1/2000),((100-L22)/100/2000))))</f>
        <v/>
      </c>
    </row>
    <row r="23" spans="2:15" x14ac:dyDescent="0.25">
      <c r="B23" s="48" t="str">
        <f>IF('Facility Processes'!B20="",(" "),'Facility Processes'!B20)</f>
        <v xml:space="preserve"> </v>
      </c>
      <c r="C23" s="48" t="str">
        <f>IF('Facility Processes'!C20="",(" "),'Facility Processes'!C20)</f>
        <v xml:space="preserve"> </v>
      </c>
      <c r="D23" s="49" t="str">
        <f>IF('Facility Processes'!D20="",(" "),'Facility Processes'!D20)</f>
        <v xml:space="preserve"> </v>
      </c>
      <c r="E23" s="49" t="str">
        <f>IF('Facility Processes'!D20="","",LOOKUP(D23,'Emission Factors'!$A$7:$A$9,'Emission Factors'!$B$7:$B$9))</f>
        <v/>
      </c>
      <c r="F23" s="48" t="str">
        <f>IF('Facility Processes'!F20="",(" "),'Facility Processes'!F20)</f>
        <v xml:space="preserve"> </v>
      </c>
      <c r="G23" s="48" t="str">
        <f>IF('Facility Processes'!F20="","","tons/hr")</f>
        <v/>
      </c>
      <c r="H23" s="48" t="str">
        <f>IF('Facility Processes'!D20="","",LOOKUP(D23,'Emission Factors'!$A$7:$A$9,'Emission Factors'!$F$7:$F$9))</f>
        <v/>
      </c>
      <c r="I23" s="48" t="str">
        <f>IF(H23="","",LOOKUP(D23,'Emission Factors'!$A$7:$A$9,'Emission Factors'!$G$7:$G$9))</f>
        <v/>
      </c>
      <c r="J23" s="48" t="str">
        <f t="shared" si="1"/>
        <v/>
      </c>
      <c r="K23" s="53" t="str">
        <f>IF('Facility Processes'!D20="","",F23*H23)</f>
        <v/>
      </c>
      <c r="L23" s="48" t="str">
        <f>IF('Facility Processes'!E20="","",LOOKUP('Facility Processes'!E20,'Emission Factors'!$A$40:$A$53,'Emission Factors'!$D$40:$D$53))</f>
        <v/>
      </c>
      <c r="M23" s="51" t="str">
        <f>IF('Facility Processes'!E20="","",IF(L23=0,"",K23*((100-L23)/100)))</f>
        <v/>
      </c>
      <c r="N23" s="51" t="str">
        <f>IF('Facility Processes'!D20="","",(MAX('Facility Information'!$E$32:$E$36)*1.2)*H23*(IF(L23="",(1/2000),((100-L23)/100/2000))))</f>
        <v/>
      </c>
      <c r="O23" s="51" t="str">
        <f>IF('Facility Processes'!D20="","",('Facility Processes'!G20)*H23*(IF(L23="",(1/2000),((100-L23)/100/2000))))</f>
        <v/>
      </c>
    </row>
    <row r="24" spans="2:15" x14ac:dyDescent="0.25">
      <c r="B24" s="48" t="str">
        <f>IF('Facility Processes'!B21="",(" "),'Facility Processes'!B21)</f>
        <v xml:space="preserve"> </v>
      </c>
      <c r="C24" s="48" t="str">
        <f>IF('Facility Processes'!C21="",(" "),'Facility Processes'!C21)</f>
        <v xml:space="preserve"> </v>
      </c>
      <c r="D24" s="49" t="str">
        <f>IF('Facility Processes'!D21="",(" "),'Facility Processes'!D21)</f>
        <v xml:space="preserve"> </v>
      </c>
      <c r="E24" s="49" t="str">
        <f>IF('Facility Processes'!D21="","",LOOKUP(D24,'Emission Factors'!$A$7:$A$9,'Emission Factors'!$B$7:$B$9))</f>
        <v/>
      </c>
      <c r="F24" s="48" t="str">
        <f>IF('Facility Processes'!F21="",(" "),'Facility Processes'!F21)</f>
        <v xml:space="preserve"> </v>
      </c>
      <c r="G24" s="48" t="str">
        <f>IF('Facility Processes'!F21="","","tons/hr")</f>
        <v/>
      </c>
      <c r="H24" s="48" t="str">
        <f>IF('Facility Processes'!D21="","",LOOKUP(D24,'Emission Factors'!$A$7:$A$9,'Emission Factors'!$F$7:$F$9))</f>
        <v/>
      </c>
      <c r="I24" s="48" t="str">
        <f>IF(H24="","",LOOKUP(D24,'Emission Factors'!$A$7:$A$9,'Emission Factors'!$G$7:$G$9))</f>
        <v/>
      </c>
      <c r="J24" s="48" t="str">
        <f t="shared" si="1"/>
        <v/>
      </c>
      <c r="K24" s="53" t="str">
        <f>IF('Facility Processes'!D21="","",F24*H24)</f>
        <v/>
      </c>
      <c r="L24" s="48" t="str">
        <f>IF('Facility Processes'!E21="","",LOOKUP('Facility Processes'!E21,'Emission Factors'!$A$40:$A$53,'Emission Factors'!$D$40:$D$53))</f>
        <v/>
      </c>
      <c r="M24" s="51" t="str">
        <f>IF('Facility Processes'!E21="","",IF(L24=0,"",K24*((100-L24)/100)))</f>
        <v/>
      </c>
      <c r="N24" s="51" t="str">
        <f>IF('Facility Processes'!D21="","",(MAX('Facility Information'!$E$32:$E$36)*1.2)*H24*(IF(L24="",(1/2000),((100-L24)/100/2000))))</f>
        <v/>
      </c>
      <c r="O24" s="51" t="str">
        <f>IF('Facility Processes'!D21="","",('Facility Processes'!G21)*H24*(IF(L24="",(1/2000),((100-L24)/100/2000))))</f>
        <v/>
      </c>
    </row>
    <row r="25" spans="2:15" x14ac:dyDescent="0.25">
      <c r="B25" s="48" t="str">
        <f>IF('Facility Processes'!B22="",(" "),'Facility Processes'!B22)</f>
        <v xml:space="preserve"> </v>
      </c>
      <c r="C25" s="48" t="str">
        <f>IF('Facility Processes'!C22="",(" "),'Facility Processes'!C22)</f>
        <v xml:space="preserve"> </v>
      </c>
      <c r="D25" s="49" t="str">
        <f>IF('Facility Processes'!D22="",(" "),'Facility Processes'!D22)</f>
        <v xml:space="preserve"> </v>
      </c>
      <c r="E25" s="49" t="str">
        <f>IF('Facility Processes'!D22="","",LOOKUP(D25,'Emission Factors'!$A$7:$A$9,'Emission Factors'!$B$7:$B$9))</f>
        <v/>
      </c>
      <c r="F25" s="48" t="str">
        <f>IF('Facility Processes'!F22="",(" "),'Facility Processes'!F22)</f>
        <v xml:space="preserve"> </v>
      </c>
      <c r="G25" s="48" t="str">
        <f>IF('Facility Processes'!F22="","","tons/hr")</f>
        <v/>
      </c>
      <c r="H25" s="48" t="str">
        <f>IF('Facility Processes'!D22="","",LOOKUP(D25,'Emission Factors'!$A$7:$A$9,'Emission Factors'!$F$7:$F$9))</f>
        <v/>
      </c>
      <c r="I25" s="48" t="str">
        <f>IF(H25="","",LOOKUP(D25,'Emission Factors'!$A$7:$A$9,'Emission Factors'!$G$7:$G$9))</f>
        <v/>
      </c>
      <c r="J25" s="48" t="str">
        <f t="shared" si="1"/>
        <v/>
      </c>
      <c r="K25" s="53" t="str">
        <f>IF('Facility Processes'!D22="","",F25*H25)</f>
        <v/>
      </c>
      <c r="L25" s="48" t="str">
        <f>IF('Facility Processes'!E22="","",LOOKUP('Facility Processes'!E22,'Emission Factors'!$A$40:$A$53,'Emission Factors'!$D$40:$D$53))</f>
        <v/>
      </c>
      <c r="M25" s="51" t="str">
        <f>IF('Facility Processes'!E22="","",IF(L25=0,"",K25*((100-L25)/100)))</f>
        <v/>
      </c>
      <c r="N25" s="51" t="str">
        <f>IF('Facility Processes'!D22="","",(MAX('Facility Information'!$E$32:$E$36)*1.2)*H25*(IF(L25="",(1/2000),((100-L25)/100/2000))))</f>
        <v/>
      </c>
      <c r="O25" s="51" t="str">
        <f>IF('Facility Processes'!D22="","",('Facility Processes'!G22)*H25*(IF(L25="",(1/2000),((100-L25)/100/2000))))</f>
        <v/>
      </c>
    </row>
    <row r="26" spans="2:15" x14ac:dyDescent="0.25">
      <c r="B26" s="48" t="str">
        <f>IF('Facility Processes'!B27="",(" "),'Facility Processes'!B27)</f>
        <v xml:space="preserve"> </v>
      </c>
      <c r="C26" s="48" t="str">
        <f>IF('Facility Processes'!C27="",(" "),'Facility Processes'!C27)</f>
        <v xml:space="preserve"> </v>
      </c>
      <c r="D26" s="49" t="str">
        <f>IF('Facility Processes'!D27="",(" "),'Facility Processes'!D27)</f>
        <v xml:space="preserve"> </v>
      </c>
      <c r="E26" s="49" t="str">
        <f>IF('Facility Processes'!D27="","",LOOKUP(D26,'Emission Factors'!$A$5:$A$6,'Emission Factors'!$B$5:$B$6))</f>
        <v/>
      </c>
      <c r="F26" s="48" t="str">
        <f>IF('Facility Processes'!F27="",(" "),'Facility Processes'!F27)</f>
        <v xml:space="preserve"> </v>
      </c>
      <c r="G26" s="48" t="str">
        <f>IF('Facility Processes'!F27="","","tons/hr")</f>
        <v/>
      </c>
      <c r="H26" s="48" t="str">
        <f>IF('Facility Processes'!D27="","",LOOKUP(D26,'Emission Factors'!$A$5:$A$6,'Emission Factors'!$F$5:$F$6))</f>
        <v/>
      </c>
      <c r="I26" s="48" t="str">
        <f>IF(H26="","",LOOKUP(D26,'Emission Factors'!$A$5:$A$6,'Emission Factors'!$G$5:$G$6))</f>
        <v/>
      </c>
      <c r="J26" s="48" t="str">
        <f t="shared" si="1"/>
        <v/>
      </c>
      <c r="K26" s="51" t="str">
        <f>IF('Facility Processes'!D27="","",F26*H26)</f>
        <v/>
      </c>
      <c r="L26" s="48" t="str">
        <f>IF('Facility Processes'!E27="","",LOOKUP('Facility Processes'!E27,'Emission Factors'!$A$40:$A$53,'Emission Factors'!$D$40:$D$53))</f>
        <v/>
      </c>
      <c r="M26" s="51" t="str">
        <f>IF('Facility Processes'!E27="","",IF(L26=0,"",K26*((100-L26)/100)))</f>
        <v/>
      </c>
      <c r="N26" s="51" t="str">
        <f>IF('Facility Processes'!D27="","",IF(K26=MAX($K$26:$K$27),(MAX('Facility Information'!$E$32:$E$36)*1.2)*H26*(IF(L26="",(1/2000),((100-L26)/100/2000))),""))</f>
        <v/>
      </c>
      <c r="O26" s="51" t="str">
        <f>IF('Facility Processes'!D27="","",('Facility Processes'!G27)*H26*(IF(L26="",(1/2000),((100-L26)/100/2000))))</f>
        <v/>
      </c>
    </row>
    <row r="27" spans="2:15" x14ac:dyDescent="0.25">
      <c r="B27" s="48" t="str">
        <f>IF('Facility Processes'!B28="",(" "),'Facility Processes'!B28)</f>
        <v xml:space="preserve"> </v>
      </c>
      <c r="C27" s="48" t="str">
        <f>IF('Facility Processes'!C28="",(" "),'Facility Processes'!C28)</f>
        <v xml:space="preserve"> </v>
      </c>
      <c r="D27" s="49" t="str">
        <f>IF('Facility Processes'!D28="",(" "),'Facility Processes'!D28)</f>
        <v xml:space="preserve"> </v>
      </c>
      <c r="E27" s="49" t="str">
        <f>IF('Facility Processes'!D28="","",LOOKUP(D27,'Emission Factors'!$A$5:$A$6,'Emission Factors'!$B$5:$B$6))</f>
        <v/>
      </c>
      <c r="F27" s="48" t="str">
        <f>IF('Facility Processes'!F28="",(" "),'Facility Processes'!F28)</f>
        <v xml:space="preserve"> </v>
      </c>
      <c r="G27" s="48" t="str">
        <f>IF('Facility Processes'!F28="","","tons/hr")</f>
        <v/>
      </c>
      <c r="H27" s="48" t="str">
        <f>IF('Facility Processes'!D28="","",LOOKUP(D27,'Emission Factors'!$A$5:$A$6,'Emission Factors'!$F$5:$F$6))</f>
        <v/>
      </c>
      <c r="I27" s="48" t="str">
        <f>IF(H27="","",LOOKUP(D27,'Emission Factors'!$A$5:$A$6,'Emission Factors'!$G$5:$G$6))</f>
        <v/>
      </c>
      <c r="J27" s="48" t="str">
        <f t="shared" si="1"/>
        <v/>
      </c>
      <c r="K27" s="51" t="str">
        <f>IF('Facility Processes'!D28="","",F27*H27)</f>
        <v/>
      </c>
      <c r="L27" s="48" t="str">
        <f>IF('Facility Processes'!E28="","",LOOKUP('Facility Processes'!E28,'Emission Factors'!$A$40:$A$53,'Emission Factors'!$D$40:$D$53))</f>
        <v/>
      </c>
      <c r="M27" s="51" t="str">
        <f>IF('Facility Processes'!E28="","",IF(L27=0,"",K27*((100-L27)/100)))</f>
        <v/>
      </c>
      <c r="N27" s="51" t="str">
        <f>IF('Facility Processes'!D28="","",IF(K27=MAX($K$26:$K$27),(MAX('Facility Information'!$E$32:$E$36)*1.2)*H27*(IF(L27="",(1/2000),((100-L27)/100/2000))),""))</f>
        <v/>
      </c>
      <c r="O27" s="51" t="str">
        <f>IF('Facility Processes'!D28="","",('Facility Processes'!G28)*H27*(IF(L27="",(1/2000),((100-L27)/100/2000))))</f>
        <v/>
      </c>
    </row>
    <row r="28" spans="2:15" s="19" customFormat="1" x14ac:dyDescent="0.25">
      <c r="B28" s="48" t="str">
        <f>IF('Facility Processes'!B39="","",'Facility Processes'!B39)</f>
        <v/>
      </c>
      <c r="C28" s="48" t="str">
        <f>IF('Facility Processes'!C39="","",'Facility Processes'!C39)</f>
        <v/>
      </c>
      <c r="D28" s="49" t="str">
        <f>IF('Facility Processes'!F39="","",'Facility Processes'!D39)</f>
        <v/>
      </c>
      <c r="E28" s="49" t="str">
        <f>IF('Facility Processes'!F39="","","30205054")</f>
        <v/>
      </c>
      <c r="F28" s="48" t="str">
        <f>IF(H28="","",'Facility Processes'!E44*'Facility Processes'!J39/8760)</f>
        <v/>
      </c>
      <c r="G28" s="48" t="str">
        <f>IF(H28="","","vmt/hr")</f>
        <v/>
      </c>
      <c r="H28" s="48" t="str">
        <f>IF('Facility Processes'!F39="","",(1.5*(('Facility Processes'!E46/12)^0.9)*(('Facility Processes'!E42/3)^0.45)*((365-'Facility Processes'!E47)/365)))</f>
        <v/>
      </c>
      <c r="I28" s="48" t="str">
        <f>IF(H28="","","lb/vmt")</f>
        <v/>
      </c>
      <c r="J28" s="48" t="str">
        <f>IF(H28="","","AP-42")</f>
        <v/>
      </c>
      <c r="K28" s="51" t="str">
        <f>IF(H28="","",N28*2000/8760)</f>
        <v/>
      </c>
      <c r="L28" s="48" t="str">
        <f>IF('Facility Processes'!E39="","",'Emission Factors'!$B$31)</f>
        <v/>
      </c>
      <c r="M28" s="51" t="str">
        <f>IF(L28="","",N28*((100-L28)/100)*2000/8760)</f>
        <v/>
      </c>
      <c r="N28" s="51" t="str">
        <f>IF(H28="","",IF(L28="",H28*'Facility Processes'!E44*'Facility Processes'!J39/2000,H28*'Facility Processes'!E44*'Facility Processes'!J39/2000*(100-L28)/100))</f>
        <v/>
      </c>
      <c r="O28" s="51" t="str">
        <f>IF(H28="","",IF(L28="",'Facility Processes'!E45*'Facility Processes'!J39*H28/2000,'Facility Processes'!E45*'Facility Processes'!J39*H28/2000*((100-L28)/100)))</f>
        <v/>
      </c>
    </row>
    <row r="29" spans="2:15" x14ac:dyDescent="0.25">
      <c r="B29" s="47"/>
      <c r="C29" s="47"/>
      <c r="D29" s="46"/>
      <c r="E29" s="46"/>
      <c r="F29" s="47"/>
      <c r="G29" s="47"/>
      <c r="H29" s="47"/>
      <c r="I29" s="47"/>
      <c r="J29" s="47"/>
      <c r="K29" s="54"/>
      <c r="L29" s="47"/>
      <c r="M29" s="55" t="s">
        <v>76</v>
      </c>
      <c r="N29" s="51" t="str">
        <f>IF(SUM(N18:N28)&gt;0,50,"0.00")</f>
        <v>0.00</v>
      </c>
      <c r="O29" s="51">
        <f>SUM(O18:O28)</f>
        <v>0</v>
      </c>
    </row>
    <row r="30" spans="2:15" x14ac:dyDescent="0.25">
      <c r="B30" s="47"/>
      <c r="C30" s="47"/>
      <c r="D30" s="46"/>
      <c r="E30" s="46"/>
      <c r="F30" s="47"/>
      <c r="G30" s="47"/>
      <c r="H30" s="47"/>
      <c r="I30" s="47"/>
      <c r="J30" s="47"/>
      <c r="K30" s="54"/>
      <c r="L30" s="47"/>
      <c r="M30" s="56" t="s">
        <v>77</v>
      </c>
      <c r="N30" s="52"/>
      <c r="O30" s="52"/>
    </row>
    <row r="31" spans="2:15" x14ac:dyDescent="0.25">
      <c r="B31" s="47"/>
      <c r="C31" s="47"/>
      <c r="D31" s="46"/>
      <c r="E31" s="46"/>
      <c r="F31" s="47"/>
      <c r="G31" s="47"/>
      <c r="H31" s="47"/>
      <c r="I31" s="47"/>
      <c r="J31" s="47"/>
      <c r="K31" s="54"/>
      <c r="L31" s="47"/>
      <c r="M31" s="56"/>
      <c r="N31" s="52"/>
      <c r="O31" s="52"/>
    </row>
    <row r="32" spans="2:15" s="151" customFormat="1" ht="33" customHeight="1" x14ac:dyDescent="0.25">
      <c r="B32" s="103" t="s">
        <v>50</v>
      </c>
      <c r="C32" s="104" t="s">
        <v>51</v>
      </c>
      <c r="D32" s="106" t="s">
        <v>52</v>
      </c>
      <c r="E32" s="103" t="s">
        <v>44</v>
      </c>
      <c r="F32" s="105" t="s">
        <v>49</v>
      </c>
      <c r="G32" s="105" t="s">
        <v>105</v>
      </c>
      <c r="H32" s="105" t="s">
        <v>53</v>
      </c>
      <c r="I32" s="105" t="s">
        <v>105</v>
      </c>
      <c r="J32" s="105" t="s">
        <v>106</v>
      </c>
      <c r="K32" s="105" t="s">
        <v>56</v>
      </c>
      <c r="L32" s="105" t="s">
        <v>57</v>
      </c>
      <c r="M32" s="105" t="s">
        <v>55</v>
      </c>
      <c r="N32" s="105" t="s">
        <v>54</v>
      </c>
      <c r="O32" s="105" t="s">
        <v>60</v>
      </c>
    </row>
    <row r="33" spans="1:15" ht="18.75" x14ac:dyDescent="0.3">
      <c r="B33" s="44" t="s">
        <v>35</v>
      </c>
      <c r="C33" s="46"/>
      <c r="D33" s="46"/>
      <c r="E33" s="46"/>
      <c r="F33" s="47"/>
      <c r="G33" s="47"/>
      <c r="H33" s="47"/>
      <c r="I33" s="47"/>
      <c r="J33" s="47"/>
      <c r="K33" s="54"/>
      <c r="L33" s="47"/>
      <c r="M33" s="52"/>
      <c r="N33" s="52"/>
      <c r="O33" s="52"/>
    </row>
    <row r="34" spans="1:15" x14ac:dyDescent="0.25">
      <c r="A34" s="19" t="str">
        <f>IF(D34="propane combustion",90.5,IF(D34="natural gas combustion",1050,""))</f>
        <v/>
      </c>
      <c r="B34" s="57" t="str">
        <f>IF('Facility Processes'!B33="","",'Facility Processes'!B33)</f>
        <v/>
      </c>
      <c r="C34" s="57" t="str">
        <f>IF('Facility Processes'!C33="","",'Facility Processes'!C33)</f>
        <v/>
      </c>
      <c r="D34" s="49" t="str">
        <f>IF('Facility Processes'!D33="","",'Facility Processes'!D33)</f>
        <v/>
      </c>
      <c r="E34" s="48" t="str">
        <f>IF('Facility Processes'!D33="","",LOOKUP(D34,'Emission Factors'!$A$16,'Emission Factors'!$B$16))</f>
        <v/>
      </c>
      <c r="F34" s="48" t="str">
        <f>IF('Facility Processes'!E33="",(" "),'Facility Processes'!E33)</f>
        <v xml:space="preserve"> </v>
      </c>
      <c r="G34" s="48" t="str">
        <f>IF('Facility Processes'!D33="","",'Facility Processes'!F33)</f>
        <v/>
      </c>
      <c r="H34" s="48" t="str">
        <f>IF('Facility Processes'!D33="","",LOOKUP(D34,'Emission Factors'!$A$16:$A$17,'Emission Factors'!$H$16:$H$17))</f>
        <v/>
      </c>
      <c r="I34" s="48" t="str">
        <f>IF('Facility Processes'!D33="","",LOOKUP(D34,'Emission Factors'!$A$16:$A$17,'Emission Factors'!$I$16:$I$17))</f>
        <v/>
      </c>
      <c r="J34" s="48" t="str">
        <f>IF(H34="","","AP-42")</f>
        <v/>
      </c>
      <c r="K34" s="53" t="str">
        <f>IF('Facility Processes'!D33="","",F34*H34)</f>
        <v/>
      </c>
      <c r="L34" s="48"/>
      <c r="M34" s="51"/>
      <c r="N34" s="51" t="str">
        <f>IF('Facility Processes'!D33="","",IF(K34&gt;=K35,(MAX('Facility Information'!$E$32:$E$36)*1.2)*0.607/A34*H34/2000,""))</f>
        <v/>
      </c>
      <c r="O34" s="51" t="str">
        <f>IF('Facility Processes'!D33="","",('Facility Processes'!G33)*H34*(IF(L34="",(1/2000),((100-L34)/100/2000))))</f>
        <v/>
      </c>
    </row>
    <row r="35" spans="1:15" x14ac:dyDescent="0.25">
      <c r="A35" s="19" t="str">
        <f>IF(D35="propane combustion",90.5,IF(D35="natural gas combustion",1050,""))</f>
        <v/>
      </c>
      <c r="B35" s="57" t="str">
        <f>IF('Facility Processes'!B34="","",'Facility Processes'!B34)</f>
        <v/>
      </c>
      <c r="C35" s="57" t="str">
        <f>IF('Facility Processes'!C34="","",'Facility Processes'!C34)</f>
        <v/>
      </c>
      <c r="D35" s="49" t="str">
        <f>IF('Facility Processes'!D34="","",'Facility Processes'!D34)</f>
        <v/>
      </c>
      <c r="E35" s="48" t="str">
        <f>IF('Facility Processes'!D34="","",LOOKUP(D35,'Emission Factors'!$A$16,'Emission Factors'!$B$16))</f>
        <v/>
      </c>
      <c r="F35" s="48" t="str">
        <f>IF('Facility Processes'!E34="",(" "),'Facility Processes'!E34)</f>
        <v xml:space="preserve"> </v>
      </c>
      <c r="G35" s="48" t="str">
        <f>IF('Facility Processes'!D34="","",'Facility Processes'!F34)</f>
        <v/>
      </c>
      <c r="H35" s="48" t="str">
        <f>IF('Facility Processes'!D34="","",LOOKUP(D35,'Emission Factors'!$A$16:$A$17,'Emission Factors'!$H$16:$H$17))</f>
        <v/>
      </c>
      <c r="I35" s="48" t="str">
        <f>IF('Facility Processes'!D34="","",LOOKUP(D35,'Emission Factors'!$A$16:$A$17,'Emission Factors'!$I$16:$I$17))</f>
        <v/>
      </c>
      <c r="J35" s="48" t="str">
        <f>IF(H35="","","AP-42")</f>
        <v/>
      </c>
      <c r="K35" s="53" t="str">
        <f>IF('Facility Processes'!D34="","",F35*H35)</f>
        <v/>
      </c>
      <c r="L35" s="48"/>
      <c r="M35" s="51"/>
      <c r="N35" s="51" t="str">
        <f>IF('Facility Processes'!D34="","",IF(K35&gt;K34,(MAX('Facility Information'!$E$32:$E$36)*1.2)*0.607/A35*H35/2000,""))</f>
        <v/>
      </c>
      <c r="O35" s="51" t="str">
        <f>IF('Facility Processes'!D34="","",('Facility Processes'!G34)*H35*(IF(L35="",(1/2000),((100-L35)/100/2000))))</f>
        <v/>
      </c>
    </row>
    <row r="36" spans="1:15" ht="18.75" x14ac:dyDescent="0.3">
      <c r="B36" s="44" t="s">
        <v>69</v>
      </c>
      <c r="C36" s="46"/>
      <c r="D36" s="46"/>
      <c r="E36" s="46"/>
      <c r="F36" s="47"/>
      <c r="G36" s="47"/>
      <c r="H36" s="47"/>
      <c r="I36" s="47"/>
      <c r="J36" s="47"/>
      <c r="K36" s="54"/>
      <c r="L36" s="47"/>
      <c r="M36" s="52"/>
      <c r="N36" s="52"/>
      <c r="O36" s="52"/>
    </row>
    <row r="37" spans="1:15" x14ac:dyDescent="0.25">
      <c r="B37" s="57" t="str">
        <f>IF('Facility Processes'!B33="","",'Facility Processes'!B33)</f>
        <v/>
      </c>
      <c r="C37" s="57" t="str">
        <f>IF('Facility Processes'!C33="","",'Facility Processes'!C33)</f>
        <v/>
      </c>
      <c r="D37" s="49" t="str">
        <f>IF('Facility Processes'!D33="","",'Facility Processes'!D33)</f>
        <v/>
      </c>
      <c r="E37" s="48" t="str">
        <f>IF('Facility Processes'!D33="","",LOOKUP(D37,'Emission Factors'!$A$16,'Emission Factors'!$B$16))</f>
        <v/>
      </c>
      <c r="F37" s="48" t="str">
        <f>IF('Facility Processes'!E33="",(" "),'Facility Processes'!E33)</f>
        <v xml:space="preserve"> </v>
      </c>
      <c r="G37" s="48" t="str">
        <f>IF('Facility Processes'!D33="","",'Facility Processes'!F33)</f>
        <v/>
      </c>
      <c r="H37" s="48" t="str">
        <f>IF('Facility Processes'!D33="","",LOOKUP(D37,'Emission Factors'!$A$16:$A$17,'Emission Factors'!$J$16:$J$17))</f>
        <v/>
      </c>
      <c r="I37" s="48" t="str">
        <f>IF('Facility Processes'!D33="","",LOOKUP(D34,'Emission Factors'!$A$16:$A$17,'Emission Factors'!$K$16:$K$17))</f>
        <v/>
      </c>
      <c r="J37" s="48" t="str">
        <f>IF(H37="","","AP-42")</f>
        <v/>
      </c>
      <c r="K37" s="53" t="str">
        <f>IF('Facility Processes'!D33="","",F37*H37)</f>
        <v/>
      </c>
      <c r="L37" s="48"/>
      <c r="M37" s="51"/>
      <c r="N37" s="51" t="str">
        <f>IF('Facility Processes'!D33="","",IF(K37&gt;=K38,(MAX('Facility Information'!$E$32:$E$36)*1.2)*0.607/A34*H37/2000,""))</f>
        <v/>
      </c>
      <c r="O37" s="51" t="str">
        <f>IF('Facility Processes'!D33="","",('Facility Processes'!G33)*H37*(IF(L37="",(1/2000),((100-L37)/100/2000))))</f>
        <v/>
      </c>
    </row>
    <row r="38" spans="1:15" x14ac:dyDescent="0.25">
      <c r="B38" s="57" t="str">
        <f>IF('Facility Processes'!B34="","",'Facility Processes'!B34)</f>
        <v/>
      </c>
      <c r="C38" s="57" t="str">
        <f>IF('Facility Processes'!C34="","",'Facility Processes'!C34)</f>
        <v/>
      </c>
      <c r="D38" s="49" t="str">
        <f>IF('Facility Processes'!D34="","",'Facility Processes'!D34)</f>
        <v/>
      </c>
      <c r="E38" s="48" t="str">
        <f>IF('Facility Processes'!D34="","",LOOKUP(D38,'Emission Factors'!$A$16,'Emission Factors'!$B$16))</f>
        <v/>
      </c>
      <c r="F38" s="48" t="str">
        <f>IF('Facility Processes'!E34="",(" "),'Facility Processes'!E34)</f>
        <v xml:space="preserve"> </v>
      </c>
      <c r="G38" s="48" t="str">
        <f>IF('Facility Processes'!D34="","",'Facility Processes'!F34)</f>
        <v/>
      </c>
      <c r="H38" s="48" t="str">
        <f>IF('Facility Processes'!D34="","",LOOKUP(D38,'Emission Factors'!$A$16:$A$17,'Emission Factors'!$J$16:$J$17))</f>
        <v/>
      </c>
      <c r="I38" s="48" t="str">
        <f>IF('Facility Processes'!D34="","",LOOKUP(D35,'Emission Factors'!$A$16:$A$17,'Emission Factors'!$K$16:$K$17))</f>
        <v/>
      </c>
      <c r="J38" s="48" t="str">
        <f>IF(H38="","","AP-42")</f>
        <v/>
      </c>
      <c r="K38" s="53" t="str">
        <f>IF('Facility Processes'!D34="","",F38*H38)</f>
        <v/>
      </c>
      <c r="L38" s="48"/>
      <c r="M38" s="51"/>
      <c r="N38" s="51" t="str">
        <f>IF('Facility Processes'!D34="","",IF(K38&gt;K37,(MAX('Facility Information'!$E$32:$E$36)*1.2)*0.607/A35*H38/2000,""))</f>
        <v/>
      </c>
      <c r="O38" s="51" t="str">
        <f>IF('Facility Processes'!D34="","",('Facility Processes'!G34)*H38*(IF(L38="",(1/2000),((100-L38)/100/2000))))</f>
        <v/>
      </c>
    </row>
    <row r="39" spans="1:15" ht="18.75" x14ac:dyDescent="0.3">
      <c r="B39" s="44" t="s">
        <v>37</v>
      </c>
      <c r="C39" s="46"/>
      <c r="D39" s="46"/>
      <c r="E39" s="46"/>
      <c r="F39" s="47"/>
      <c r="G39" s="47"/>
      <c r="H39" s="47"/>
      <c r="I39" s="47"/>
      <c r="J39" s="47"/>
      <c r="K39" s="54"/>
      <c r="L39" s="47"/>
      <c r="M39" s="52"/>
      <c r="N39" s="52"/>
      <c r="O39" s="52"/>
    </row>
    <row r="40" spans="1:15" x14ac:dyDescent="0.25">
      <c r="B40" s="57" t="str">
        <f>IF('Facility Processes'!B33="","",'Facility Processes'!B33)</f>
        <v/>
      </c>
      <c r="C40" s="57" t="str">
        <f>IF('Facility Processes'!C33="","",'Facility Processes'!C33)</f>
        <v/>
      </c>
      <c r="D40" s="49" t="str">
        <f>IF('Facility Processes'!D33="","",'Facility Processes'!D33)</f>
        <v/>
      </c>
      <c r="E40" s="48" t="str">
        <f>IF('Facility Processes'!D33="","",LOOKUP(D40,'Emission Factors'!$A$16,'Emission Factors'!$B$16))</f>
        <v/>
      </c>
      <c r="F40" s="48" t="str">
        <f>IF('Facility Processes'!E33="",(" "),'Facility Processes'!E33)</f>
        <v xml:space="preserve"> </v>
      </c>
      <c r="G40" s="48" t="str">
        <f>IF('Facility Processes'!D33="","",'Facility Processes'!F33)</f>
        <v/>
      </c>
      <c r="H40" s="48" t="str">
        <f>IF('Facility Processes'!D33="","",LOOKUP(D40,'Emission Factors'!$A$16:$A$17,'Emission Factors'!$L$16:$L$17))</f>
        <v/>
      </c>
      <c r="I40" s="48" t="str">
        <f>IF('Facility Processes'!D33="","",LOOKUP(D37,'Emission Factors'!$A$16:$A$17,'Emission Factors'!$M$16:$M$17))</f>
        <v/>
      </c>
      <c r="J40" s="48" t="str">
        <f>IF(H40="","","AP-42")</f>
        <v/>
      </c>
      <c r="K40" s="53" t="str">
        <f>IF('Facility Processes'!D33="","",F40*H40)</f>
        <v/>
      </c>
      <c r="L40" s="48"/>
      <c r="M40" s="51"/>
      <c r="N40" s="51" t="str">
        <f>IF('Facility Processes'!D33="","",IF(K40&gt;=K41,(MAX('Facility Information'!$E$32:$E$36)*1.2)*0.607/A34*H40/2000,""))</f>
        <v/>
      </c>
      <c r="O40" s="51" t="str">
        <f>IF('Facility Processes'!D33="","",('Facility Processes'!G33)*H40*(IF(L40="",(1/2000),((100-L40)/100/2000))))</f>
        <v/>
      </c>
    </row>
    <row r="41" spans="1:15" x14ac:dyDescent="0.25">
      <c r="B41" s="57" t="str">
        <f>IF('Facility Processes'!B34="","",'Facility Processes'!B34)</f>
        <v/>
      </c>
      <c r="C41" s="57" t="str">
        <f>IF('Facility Processes'!C34="","",'Facility Processes'!C34)</f>
        <v/>
      </c>
      <c r="D41" s="49" t="str">
        <f>IF('Facility Processes'!D34="","",'Facility Processes'!D34)</f>
        <v/>
      </c>
      <c r="E41" s="48" t="str">
        <f>IF('Facility Processes'!D34="","",LOOKUP(D41,'Emission Factors'!$A$16,'Emission Factors'!$B$16))</f>
        <v/>
      </c>
      <c r="F41" s="48" t="str">
        <f>IF('Facility Processes'!E34="",(" "),'Facility Processes'!E34)</f>
        <v xml:space="preserve"> </v>
      </c>
      <c r="G41" s="48" t="str">
        <f>IF('Facility Processes'!D34="","",'Facility Processes'!F34)</f>
        <v/>
      </c>
      <c r="H41" s="48" t="str">
        <f>IF('Facility Processes'!D34="","",LOOKUP(D41,'Emission Factors'!$A$16:$A$17,'Emission Factors'!$L$16:$L$17))</f>
        <v/>
      </c>
      <c r="I41" s="48" t="str">
        <f>IF('Facility Processes'!D34="","",LOOKUP(D38,'Emission Factors'!$A$16:$A$17,'Emission Factors'!$M$16:$M$17))</f>
        <v/>
      </c>
      <c r="J41" s="48" t="str">
        <f>IF(H41="","","AP-42")</f>
        <v/>
      </c>
      <c r="K41" s="53" t="str">
        <f>IF('Facility Processes'!D34="","",F41*H41)</f>
        <v/>
      </c>
      <c r="L41" s="48"/>
      <c r="M41" s="51"/>
      <c r="N41" s="51" t="str">
        <f>IF('Facility Processes'!D34="","",IF(K41&gt;K40,(MAX('Facility Information'!$E$32:$E$36)*1.2)*0.607/A35*H41/2000,""))</f>
        <v/>
      </c>
      <c r="O41" s="51" t="str">
        <f>IF('Facility Processes'!D34="","",('Facility Processes'!G34)*H41*(IF(L41="",(1/2000),((100-L41)/100/2000))))</f>
        <v/>
      </c>
    </row>
    <row r="42" spans="1:15" ht="18.75" x14ac:dyDescent="0.3">
      <c r="B42" s="44" t="s">
        <v>38</v>
      </c>
      <c r="C42" s="46"/>
      <c r="D42" s="46"/>
      <c r="E42" s="46"/>
      <c r="F42" s="47"/>
      <c r="G42" s="47"/>
      <c r="H42" s="47"/>
      <c r="I42" s="47"/>
      <c r="J42" s="47"/>
      <c r="K42" s="54"/>
      <c r="L42" s="47"/>
      <c r="M42" s="52"/>
      <c r="N42" s="52"/>
      <c r="O42" s="52"/>
    </row>
    <row r="43" spans="1:15" x14ac:dyDescent="0.25">
      <c r="B43" s="57" t="str">
        <f>IF('Facility Processes'!B33="","",'Facility Processes'!B33)</f>
        <v/>
      </c>
      <c r="C43" s="57" t="str">
        <f>IF('Facility Processes'!C33="","",'Facility Processes'!C33)</f>
        <v/>
      </c>
      <c r="D43" s="49" t="str">
        <f>IF('Facility Processes'!D33="","",'Facility Processes'!D33)</f>
        <v/>
      </c>
      <c r="E43" s="48" t="str">
        <f>IF('Facility Processes'!D33="","",LOOKUP(D43,'Emission Factors'!$A$16,'Emission Factors'!$B$16))</f>
        <v/>
      </c>
      <c r="F43" s="48" t="str">
        <f>IF('Facility Processes'!E33="",(" "),'Facility Processes'!E33)</f>
        <v xml:space="preserve"> </v>
      </c>
      <c r="G43" s="48" t="str">
        <f>IF('Facility Processes'!D33="","",'Facility Processes'!F33)</f>
        <v/>
      </c>
      <c r="H43" s="48" t="str">
        <f>IF('Facility Processes'!D33="","",LOOKUP(D43,'Emission Factors'!$A$16:$A$17,'Emission Factors'!$N16:$N$17))</f>
        <v/>
      </c>
      <c r="I43" s="48" t="str">
        <f>IF('Facility Processes'!D33="","",LOOKUP(D40,'Emission Factors'!$A$16:$A$17,'Emission Factors'!$O$16:$O$17))</f>
        <v/>
      </c>
      <c r="J43" s="48" t="str">
        <f>IF(H43="","","AP-42")</f>
        <v/>
      </c>
      <c r="K43" s="53" t="str">
        <f>IF('Facility Processes'!D33="","",F43*H43)</f>
        <v/>
      </c>
      <c r="L43" s="48"/>
      <c r="M43" s="51"/>
      <c r="N43" s="51" t="str">
        <f>IF('Facility Processes'!D33="","",IF(K43&gt;=K44,(MAX('Facility Information'!$E$32:$E$36)*1.2)*0.607/A34*H43/2000,""))</f>
        <v/>
      </c>
      <c r="O43" s="51" t="str">
        <f>IF('Facility Processes'!D33="","",('Facility Processes'!G33)*H43*(IF(L43="",(1/2000),((100-L43)/100/2000))))</f>
        <v/>
      </c>
    </row>
    <row r="44" spans="1:15" x14ac:dyDescent="0.25">
      <c r="B44" s="57" t="str">
        <f>IF('Facility Processes'!B34="","",'Facility Processes'!B34)</f>
        <v/>
      </c>
      <c r="C44" s="57" t="str">
        <f>IF('Facility Processes'!C34="","",'Facility Processes'!C34)</f>
        <v/>
      </c>
      <c r="D44" s="49" t="str">
        <f>IF('Facility Processes'!D34="","",'Facility Processes'!D34)</f>
        <v/>
      </c>
      <c r="E44" s="48" t="str">
        <f>IF('Facility Processes'!D34="","",LOOKUP(D44,'Emission Factors'!$A$16,'Emission Factors'!$B$16))</f>
        <v/>
      </c>
      <c r="F44" s="48" t="str">
        <f>IF('Facility Processes'!E34="",(" "),'Facility Processes'!E34)</f>
        <v xml:space="preserve"> </v>
      </c>
      <c r="G44" s="48" t="str">
        <f>IF('Facility Processes'!D34="","",'Facility Processes'!F34)</f>
        <v/>
      </c>
      <c r="H44" s="48" t="str">
        <f>IF('Facility Processes'!D34="","",LOOKUP(D44,'Emission Factors'!$A$16:$A$17,'Emission Factors'!$N16:$N$17))</f>
        <v/>
      </c>
      <c r="I44" s="48" t="str">
        <f>IF('Facility Processes'!D34="","",LOOKUP(D41,'Emission Factors'!$A$16:$A$17,'Emission Factors'!$O$16:$O$17))</f>
        <v/>
      </c>
      <c r="J44" s="48" t="str">
        <f>IF(H44="","","AP-42")</f>
        <v/>
      </c>
      <c r="K44" s="53" t="str">
        <f>IF('Facility Processes'!D34="","",F44*H44)</f>
        <v/>
      </c>
      <c r="L44" s="48"/>
      <c r="M44" s="51"/>
      <c r="N44" s="51" t="str">
        <f>IF('Facility Processes'!D34="","",IF(K44&gt;K43,(MAX('Facility Information'!$E$32:$E$36)*1.2)*0.607/A35*H44/2000,""))</f>
        <v/>
      </c>
      <c r="O44" s="51" t="str">
        <f>IF('Facility Processes'!D34="","",('Facility Processes'!G34)*H44*(IF(L44="",(1/2000),((100-L44)/100/2000))))</f>
        <v/>
      </c>
    </row>
    <row r="45" spans="1:15" ht="18.75" x14ac:dyDescent="0.3">
      <c r="B45" s="44" t="s">
        <v>39</v>
      </c>
      <c r="C45" s="46"/>
      <c r="D45" s="46"/>
      <c r="E45" s="46"/>
      <c r="F45" s="47"/>
      <c r="G45" s="47"/>
      <c r="H45" s="47"/>
      <c r="I45" s="47"/>
      <c r="J45" s="47"/>
      <c r="K45" s="54"/>
      <c r="L45" s="47"/>
      <c r="M45" s="52"/>
      <c r="N45" s="52"/>
      <c r="O45" s="52"/>
    </row>
    <row r="46" spans="1:15" x14ac:dyDescent="0.25">
      <c r="B46" s="57" t="str">
        <f>IF('Facility Processes'!D33="","",IF('Facility Processes'!D33="Propane Combustion","",'Facility Processes'!B33))</f>
        <v/>
      </c>
      <c r="C46" s="57" t="str">
        <f>IF('Facility Processes'!D33="","",IF('Facility Processes'!D33="Propane Combustion","",'Facility Processes'!C33))</f>
        <v/>
      </c>
      <c r="D46" s="49" t="str">
        <f>IF('Facility Processes'!D33="","",IF('Facility Processes'!D33="Propane Combustion","",'Facility Processes'!D33))</f>
        <v/>
      </c>
      <c r="E46" s="48" t="str">
        <f>IF('Facility Processes'!D33="","",IF('Facility Processes'!D33="Propane Combustion","",LOOKUP(D46,'Emission Factors'!$A$16,'Emission Factors'!$B$16)))</f>
        <v/>
      </c>
      <c r="F46" s="48" t="str">
        <f>IF('Facility Processes'!D33="","",IF('Facility Processes'!D33="Propane Combustion","",'Facility Processes'!E33))</f>
        <v/>
      </c>
      <c r="G46" s="48" t="str">
        <f>IF('Facility Processes'!D33="","",IF('Facility Processes'!D33="Propane Combustion","",'Facility Processes'!F33))</f>
        <v/>
      </c>
      <c r="H46" s="48" t="str">
        <f>IF('Facility Processes'!D33="","",IF('Facility Processes'!D33="Propane Combustion","",LOOKUP(D46,'Emission Factors'!$A$16:$A$17,'Emission Factors'!$P$16:$P$17)))</f>
        <v/>
      </c>
      <c r="I46" s="48" t="str">
        <f>IF('Facility Processes'!D33="","",IF('Facility Processes'!D33="Propane Combustion","",LOOKUP(D46,'Emission Factors'!$A$16:$A$17,'Emission Factors'!$Q$16:$Q$17)))</f>
        <v/>
      </c>
      <c r="J46" s="48" t="str">
        <f>IF('Facility Processes'!D33="","",IF('Facility Processes'!D33="Propane Combustion","","AP-42"))</f>
        <v/>
      </c>
      <c r="K46" s="53" t="str">
        <f>IF('Facility Processes'!D33="","",IF('Facility Processes'!D33="Propane Combustion","",F46*H46))</f>
        <v/>
      </c>
      <c r="L46" s="48"/>
      <c r="M46" s="51"/>
      <c r="N46" s="51" t="str">
        <f>IF('Facility Processes'!D33="","",IF('Facility Processes'!D33="Propane Combustion","",IF(K46&gt;=K47,(MAX('Facility Information'!$E$32:$E$36)*1.2)*0.607/1050*H46/2000,"")))</f>
        <v/>
      </c>
      <c r="O46" s="51" t="str">
        <f>IF('Facility Processes'!D33="","",IF('Facility Processes'!D33="Propane Combustion","",('Facility Processes'!G33)*H46*(IF(L46="",(1/2000),((100-L46)/100/2000)))))</f>
        <v/>
      </c>
    </row>
    <row r="47" spans="1:15" x14ac:dyDescent="0.25">
      <c r="B47" s="57" t="str">
        <f>IF('Facility Processes'!D34="","",IF('Facility Processes'!D34="Propane Combustion","",'Facility Processes'!B34))</f>
        <v/>
      </c>
      <c r="C47" s="57" t="str">
        <f>IF('Facility Processes'!D34="","",IF('Facility Processes'!D34="Propane Combustion","",'Facility Processes'!C34))</f>
        <v/>
      </c>
      <c r="D47" s="49" t="str">
        <f>IF('Facility Processes'!D34="","",IF('Facility Processes'!D34="Propane Combustion","",'Facility Processes'!D34))</f>
        <v/>
      </c>
      <c r="E47" s="48" t="str">
        <f>IF('Facility Processes'!D34="","",IF('Facility Processes'!D34="Propane Combustion","",LOOKUP(D47,'Emission Factors'!$A$16,'Emission Factors'!$B$16)))</f>
        <v/>
      </c>
      <c r="F47" s="48" t="str">
        <f>IF('Facility Processes'!D34="","",IF('Facility Processes'!D34="Propane Combustion","",'Facility Processes'!E34))</f>
        <v/>
      </c>
      <c r="G47" s="48" t="str">
        <f>IF('Facility Processes'!D34="","",IF('Facility Processes'!D34="Propane Combustion","",'Facility Processes'!F34))</f>
        <v/>
      </c>
      <c r="H47" s="48" t="str">
        <f>IF('Facility Processes'!D34="","",IF('Facility Processes'!D34="Propane Combustion","",LOOKUP(D47,'Emission Factors'!$A$16:$A$17,'Emission Factors'!$P$16:$P$17)))</f>
        <v/>
      </c>
      <c r="I47" s="48" t="str">
        <f>IF('Facility Processes'!D34="","",IF('Facility Processes'!D34="Propane Combustion","",LOOKUP(D47,'Emission Factors'!$A$16:$A$17,'Emission Factors'!$Q$16:$Q$17)))</f>
        <v/>
      </c>
      <c r="J47" s="48" t="str">
        <f>IF('Facility Processes'!D34="","",IF('Facility Processes'!D34="Propane Combustion","","AP-42"))</f>
        <v/>
      </c>
      <c r="K47" s="53" t="str">
        <f>IF('Facility Processes'!D34="","",IF('Facility Processes'!D34="Propane Combustion","",F47*H47))</f>
        <v/>
      </c>
      <c r="L47" s="48"/>
      <c r="M47" s="51"/>
      <c r="N47" s="51" t="str">
        <f>IF('Facility Processes'!D34="","",IF('Facility Processes'!D34="Propane Combustion","",IF(K47&gt;K46,(MAX('Facility Information'!$E$32:$E$36)*1.2)*0.607/1050*H47/2000,"")))</f>
        <v/>
      </c>
      <c r="O47" s="51" t="str">
        <f>IF('Facility Processes'!D34="","",IF('Facility Processes'!D34="Propane Combustion","",('Facility Processes'!G34)*H47*(IF(L47="",(1/2000),((100-L47)/100/2000)))))</f>
        <v/>
      </c>
    </row>
    <row r="48" spans="1:15" ht="18.75" x14ac:dyDescent="0.3">
      <c r="B48" s="44" t="s">
        <v>40</v>
      </c>
      <c r="C48" s="46"/>
      <c r="D48" s="46"/>
      <c r="E48" s="46"/>
      <c r="F48" s="47"/>
      <c r="G48" s="47"/>
      <c r="H48" s="47"/>
      <c r="I48" s="47"/>
      <c r="J48" s="47"/>
      <c r="K48" s="54"/>
      <c r="L48" s="47"/>
      <c r="M48" s="52"/>
      <c r="N48" s="52"/>
      <c r="O48" s="52"/>
    </row>
    <row r="49" spans="2:15" x14ac:dyDescent="0.25">
      <c r="B49" s="57" t="str">
        <f>IF('Facility Processes'!D33="","",IF('Facility Processes'!D33="Propane Combustion","",'Facility Processes'!B33))</f>
        <v/>
      </c>
      <c r="C49" s="57" t="str">
        <f>IF('Facility Processes'!D33="","",IF('Facility Processes'!D33="Propane Combustion","",'Facility Processes'!C33))</f>
        <v/>
      </c>
      <c r="D49" s="49" t="str">
        <f>IF('Facility Processes'!D33="","",IF('Facility Processes'!D33="Propane Combustion","",'Facility Processes'!D33))</f>
        <v/>
      </c>
      <c r="E49" s="48" t="str">
        <f>IF('Facility Processes'!D33="","",IF('Facility Processes'!D33="Propane Combustion","",LOOKUP(D49,'Emission Factors'!$A$16,'Emission Factors'!$B$16)))</f>
        <v/>
      </c>
      <c r="F49" s="48" t="str">
        <f>IF('Facility Processes'!D33="","",IF('Facility Processes'!D33="Propane Combustion","",'Facility Processes'!E33))</f>
        <v/>
      </c>
      <c r="G49" s="48" t="str">
        <f>IF('Facility Processes'!D33="","",IF('Facility Processes'!D33="Propane Combustion","",'Facility Processes'!F33))</f>
        <v/>
      </c>
      <c r="H49" s="48" t="str">
        <f>IF('Facility Processes'!D33="","",IF('Facility Processes'!D33="Propane Combustion","",LOOKUP(D49,'Emission Factors'!$A$16:$A$17,'Emission Factors'!$R$16:$R$17)))</f>
        <v/>
      </c>
      <c r="I49" s="48" t="str">
        <f>IF('Facility Processes'!D33="","",IF('Facility Processes'!D33="Propane Combustion","",LOOKUP(D49,'Emission Factors'!$A$16:$A$17,'Emission Factors'!$Q$16:$Q$17)))</f>
        <v/>
      </c>
      <c r="J49" s="48" t="str">
        <f>IF('Facility Processes'!D33="","",IF('Facility Processes'!D33="Propane Combustion","","AP-42"))</f>
        <v/>
      </c>
      <c r="K49" s="53" t="str">
        <f>IF('Facility Processes'!D33="","",IF('Facility Processes'!D33="Propane Combustion","",F49*H49))</f>
        <v/>
      </c>
      <c r="L49" s="48"/>
      <c r="M49" s="51"/>
      <c r="N49" s="51" t="str">
        <f>IF('Facility Processes'!D33="","",IF('Facility Processes'!D33="Propane Combustion","",IF(K49&gt;=K50,(MAX('Facility Information'!$E$32:$E$36)*1.2)*0.607/1050*H49/2000,"")))</f>
        <v/>
      </c>
      <c r="O49" s="51" t="str">
        <f>IF('Facility Processes'!D33="","",IF('Facility Processes'!D33="Propane Combustion","",('Facility Processes'!G33)*H49*(IF(L49="",(1/2000),((100-L49)/100/2000)))))</f>
        <v/>
      </c>
    </row>
    <row r="50" spans="2:15" x14ac:dyDescent="0.25">
      <c r="B50" s="57" t="str">
        <f>IF('Facility Processes'!D34="","",IF('Facility Processes'!D34="Propane Combustion","",'Facility Processes'!B34))</f>
        <v/>
      </c>
      <c r="C50" s="57" t="str">
        <f>IF('Facility Processes'!D34="","",IF('Facility Processes'!D34="Propane Combustion","",'Facility Processes'!C34))</f>
        <v/>
      </c>
      <c r="D50" s="49" t="str">
        <f>IF('Facility Processes'!D34="","",IF('Facility Processes'!D34="Propane Combustion","",'Facility Processes'!D34))</f>
        <v/>
      </c>
      <c r="E50" s="48" t="str">
        <f>IF('Facility Processes'!D34="","",IF('Facility Processes'!D34="Propane Combustion","",LOOKUP(D50,'Emission Factors'!$A$16,'Emission Factors'!$B$16)))</f>
        <v/>
      </c>
      <c r="F50" s="48" t="str">
        <f>IF('Facility Processes'!D34="","",IF('Facility Processes'!D34="Propane Combustion","",'Facility Processes'!E34))</f>
        <v/>
      </c>
      <c r="G50" s="48" t="str">
        <f>IF('Facility Processes'!D34="","",IF('Facility Processes'!D34="Propane Combustion","",'Facility Processes'!F34))</f>
        <v/>
      </c>
      <c r="H50" s="48" t="str">
        <f>IF('Facility Processes'!D34="","",IF('Facility Processes'!D34="Propane Combustion","",LOOKUP(D50,'Emission Factors'!$A$16:$A$17,'Emission Factors'!$R$16:$R$17)))</f>
        <v/>
      </c>
      <c r="I50" s="48" t="str">
        <f>IF('Facility Processes'!D34="","",IF('Facility Processes'!D34="Propane Combustion","",LOOKUP(D50,'Emission Factors'!$A$16:$A$17,'Emission Factors'!$Q$16:$Q$17)))</f>
        <v/>
      </c>
      <c r="J50" s="48" t="str">
        <f>IF('Facility Processes'!D34="","",IF('Facility Processes'!D34="Propane Combustion","","AP-42"))</f>
        <v/>
      </c>
      <c r="K50" s="53" t="str">
        <f>IF('Facility Processes'!D34="","",IF('Facility Processes'!D34="Propane Combustion","",F50*H50))</f>
        <v/>
      </c>
      <c r="L50" s="48"/>
      <c r="M50" s="51"/>
      <c r="N50" s="51" t="str">
        <f>IF('Facility Processes'!D34="","",IF('Facility Processes'!D34="Propane Combustion","",IF(K50&gt;K49,(MAX('Facility Information'!$E$32:$E$36)*1.2)*0.607/1050*H50/2000,"")))</f>
        <v/>
      </c>
      <c r="O50" s="51" t="str">
        <f>IF('Facility Processes'!D34="","",IF('Facility Processes'!D34="Propane Combustion","",('Facility Processes'!G34)*H50*(IF(L50="",(1/2000),((100-L50)/100/2000)))))</f>
        <v/>
      </c>
    </row>
    <row r="51" spans="2:15" ht="18.75" x14ac:dyDescent="0.3">
      <c r="B51" s="44" t="s">
        <v>41</v>
      </c>
      <c r="C51" s="46"/>
      <c r="D51" s="46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6"/>
    </row>
    <row r="52" spans="2:15" x14ac:dyDescent="0.25">
      <c r="B52" s="57" t="str">
        <f>IF('Facility Processes'!D33="","",IF('Facility Processes'!D33="Propane Combustion","",'Facility Processes'!B33))</f>
        <v/>
      </c>
      <c r="C52" s="57" t="str">
        <f>IF('Facility Processes'!D33="","",IF('Facility Processes'!D33="Propane Combustion","",'Facility Processes'!C33))</f>
        <v/>
      </c>
      <c r="D52" s="49" t="str">
        <f>IF('Facility Processes'!D33="","",IF('Facility Processes'!D33="Propane Combustion","",'Facility Processes'!D33))</f>
        <v/>
      </c>
      <c r="E52" s="48" t="str">
        <f>IF('Facility Processes'!D33="","",IF('Facility Processes'!D33="Propane Combustion","",LOOKUP(D52,'Emission Factors'!$A$16,'Emission Factors'!$B$16)))</f>
        <v/>
      </c>
      <c r="F52" s="48" t="str">
        <f>IF('Facility Processes'!D33="","",IF('Facility Processes'!D33="Propane Combustion","",'Facility Processes'!E33))</f>
        <v/>
      </c>
      <c r="G52" s="48" t="str">
        <f>IF('Facility Processes'!D33="","",IF('Facility Processes'!D33="Propane Combustion","",'Facility Processes'!F33))</f>
        <v/>
      </c>
      <c r="H52" s="48" t="str">
        <f>IF('Facility Processes'!D33="","",IF('Facility Processes'!D33="Propane Combustion","",LOOKUP(D52,'Emission Factors'!$A$16:$A$17,'Emission Factors'!$T$16:$T$17)))</f>
        <v/>
      </c>
      <c r="I52" s="48" t="str">
        <f>IF('Facility Processes'!D33="","",IF('Facility Processes'!D33="Propane Combustion","",LOOKUP(D52,'Emission Factors'!$A$16:$A$17,'Emission Factors'!$Q$16:$Q$17)))</f>
        <v/>
      </c>
      <c r="J52" s="48" t="str">
        <f>IF('Facility Processes'!D33="","",IF('Facility Processes'!D33="Propane Combustion","","AP-42"))</f>
        <v/>
      </c>
      <c r="K52" s="53" t="str">
        <f>IF('Facility Processes'!D33="","",IF('Facility Processes'!D33="Propane Combustion","",F52*H52))</f>
        <v/>
      </c>
      <c r="L52" s="48"/>
      <c r="M52" s="51"/>
      <c r="N52" s="51" t="str">
        <f>IF('Facility Processes'!D33="","",IF('Facility Processes'!D33="Propane Combustion","",IF(K52&gt;=K53,(MAX('Facility Information'!$E$32:$E$36)*1.2)*0.607/1050*H52/2000,"")))</f>
        <v/>
      </c>
      <c r="O52" s="51" t="str">
        <f>IF('Facility Processes'!D33="","",IF('Facility Processes'!D33="Propane Combustion","",('Facility Processes'!G33)*H52*(IF(L52="",(1/2000),((100-L52)/100/2000)))))</f>
        <v/>
      </c>
    </row>
    <row r="53" spans="2:15" x14ac:dyDescent="0.25">
      <c r="B53" s="57" t="str">
        <f>IF('Facility Processes'!D34="","",IF('Facility Processes'!D34="Propane Combustion","",'Facility Processes'!B34))</f>
        <v/>
      </c>
      <c r="C53" s="57" t="str">
        <f>IF('Facility Processes'!D34="","",IF('Facility Processes'!D34="Propane Combustion","",'Facility Processes'!C34))</f>
        <v/>
      </c>
      <c r="D53" s="49" t="str">
        <f>IF('Facility Processes'!D34="","",IF('Facility Processes'!D34="Propane Combustion","",'Facility Processes'!D34))</f>
        <v/>
      </c>
      <c r="E53" s="48" t="str">
        <f>IF('Facility Processes'!D34="","",IF('Facility Processes'!D34="Propane Combustion","",LOOKUP(D53,'Emission Factors'!$A$16,'Emission Factors'!$B$16)))</f>
        <v/>
      </c>
      <c r="F53" s="48" t="str">
        <f>IF('Facility Processes'!D34="","",IF('Facility Processes'!D34="Propane Combustion","",'Facility Processes'!E34))</f>
        <v/>
      </c>
      <c r="G53" s="48" t="str">
        <f>IF('Facility Processes'!D34="","",IF('Facility Processes'!D34="Propane Combustion","",'Facility Processes'!F34))</f>
        <v/>
      </c>
      <c r="H53" s="48" t="str">
        <f>IF('Facility Processes'!D34="","",IF('Facility Processes'!D34="Propane Combustion","",LOOKUP(D53,'Emission Factors'!$A$16:$A$17,'Emission Factors'!$T$16:$T$17)))</f>
        <v/>
      </c>
      <c r="I53" s="48" t="str">
        <f>IF('Facility Processes'!D34="","",IF('Facility Processes'!D34="Propane Combustion","",LOOKUP(D53,'Emission Factors'!$A$16:$A$17,'Emission Factors'!$Q$16:$Q$17)))</f>
        <v/>
      </c>
      <c r="J53" s="48" t="str">
        <f>IF('Facility Processes'!D34="","",IF('Facility Processes'!D34="Propane Combustion","","AP-42"))</f>
        <v/>
      </c>
      <c r="K53" s="53" t="str">
        <f>IF('Facility Processes'!D34="","",IF('Facility Processes'!D34="Propane Combustion","",F53*H53))</f>
        <v/>
      </c>
      <c r="L53" s="48"/>
      <c r="M53" s="51"/>
      <c r="N53" s="51" t="str">
        <f>IF('Facility Processes'!D34="","",IF('Facility Processes'!D34="Propane Combustion","",IF(K53&gt;K52,(MAX('Facility Information'!$E$32:$E$36)*1.2)*0.607/1050*H53/2000,"")))</f>
        <v/>
      </c>
      <c r="O53" s="51" t="str">
        <f>IF('Facility Processes'!D34="","",IF('Facility Processes'!D34="Propane Combustion","",('Facility Processes'!G34)*H53*(IF(L53="",(1/2000),((100-L53)/100/2000)))))</f>
        <v/>
      </c>
    </row>
    <row r="54" spans="2:15" x14ac:dyDescent="0.25">
      <c r="F54" s="4"/>
      <c r="G54" s="4"/>
      <c r="I54" s="4"/>
      <c r="J54" s="4"/>
      <c r="K54" s="4"/>
      <c r="L54" s="4"/>
      <c r="M54" s="4"/>
      <c r="N54" s="4"/>
    </row>
    <row r="55" spans="2:15" x14ac:dyDescent="0.25">
      <c r="F55" s="4"/>
      <c r="G55" s="4"/>
      <c r="I55" s="4"/>
      <c r="J55" s="4"/>
      <c r="K55" s="4"/>
      <c r="L55" s="4"/>
      <c r="M55" s="4"/>
      <c r="N55" s="4"/>
    </row>
    <row r="56" spans="2:15" x14ac:dyDescent="0.25">
      <c r="F56" s="4"/>
      <c r="G56" s="4"/>
      <c r="I56" s="4"/>
      <c r="J56" s="4"/>
      <c r="K56" s="4"/>
      <c r="L56" s="4"/>
      <c r="M56" s="4"/>
      <c r="N56" s="4"/>
    </row>
    <row r="57" spans="2:15" x14ac:dyDescent="0.25">
      <c r="F57" s="4"/>
      <c r="G57" s="4"/>
      <c r="I57" s="4"/>
      <c r="J57" s="4"/>
      <c r="K57" s="4"/>
      <c r="L57" s="4"/>
      <c r="M57" s="4"/>
      <c r="N57" s="4"/>
    </row>
    <row r="58" spans="2:15" x14ac:dyDescent="0.25">
      <c r="F58" s="4"/>
      <c r="G58" s="4"/>
      <c r="I58" s="4"/>
      <c r="J58" s="4"/>
      <c r="K58" s="4"/>
      <c r="L58" s="4"/>
      <c r="M58" s="4"/>
      <c r="N58" s="4"/>
    </row>
    <row r="59" spans="2:15" x14ac:dyDescent="0.25">
      <c r="F59" s="4"/>
      <c r="G59" s="4"/>
      <c r="I59" s="4"/>
      <c r="J59" s="4"/>
      <c r="K59" s="4"/>
      <c r="L59" s="4"/>
      <c r="M59" s="4"/>
      <c r="N59" s="4"/>
    </row>
    <row r="60" spans="2:15" x14ac:dyDescent="0.25">
      <c r="F60" s="4"/>
      <c r="G60" s="4"/>
      <c r="I60" s="4"/>
      <c r="J60" s="4"/>
      <c r="K60" s="4"/>
      <c r="L60" s="4"/>
      <c r="M60" s="4"/>
      <c r="N60" s="4"/>
    </row>
    <row r="61" spans="2:15" x14ac:dyDescent="0.25">
      <c r="F61" s="4"/>
      <c r="G61" s="4"/>
      <c r="I61" s="4"/>
      <c r="J61" s="4"/>
      <c r="K61" s="4"/>
      <c r="L61" s="4"/>
      <c r="M61" s="4"/>
      <c r="N61" s="4"/>
    </row>
    <row r="62" spans="2:15" x14ac:dyDescent="0.25">
      <c r="F62" s="4"/>
      <c r="G62" s="4"/>
      <c r="I62" s="4"/>
      <c r="J62" s="4"/>
      <c r="K62" s="4"/>
      <c r="L62" s="4"/>
      <c r="M62" s="4"/>
      <c r="N62" s="4"/>
    </row>
    <row r="63" spans="2:15" x14ac:dyDescent="0.25">
      <c r="F63" s="4"/>
      <c r="G63" s="4"/>
      <c r="I63" s="4"/>
      <c r="J63" s="4"/>
      <c r="K63" s="4"/>
      <c r="L63" s="4"/>
      <c r="M63" s="4"/>
      <c r="N63" s="4"/>
    </row>
    <row r="64" spans="2:15" x14ac:dyDescent="0.25">
      <c r="F64" s="4"/>
      <c r="G64" s="4"/>
      <c r="I64" s="4"/>
      <c r="J64" s="4"/>
      <c r="K64" s="4"/>
      <c r="L64" s="4"/>
      <c r="M64" s="4"/>
      <c r="N64" s="4"/>
    </row>
    <row r="65" spans="6:14" x14ac:dyDescent="0.25">
      <c r="F65" s="4"/>
      <c r="G65" s="4"/>
      <c r="I65" s="4"/>
      <c r="J65" s="4"/>
      <c r="K65" s="4"/>
      <c r="L65" s="4"/>
      <c r="M65" s="4"/>
      <c r="N65" s="4"/>
    </row>
    <row r="66" spans="6:14" x14ac:dyDescent="0.25">
      <c r="F66" s="4"/>
      <c r="G66" s="4"/>
      <c r="I66" s="4"/>
      <c r="J66" s="4"/>
      <c r="K66" s="4"/>
      <c r="L66" s="4"/>
      <c r="M66" s="4"/>
      <c r="N66" s="4"/>
    </row>
    <row r="67" spans="6:14" x14ac:dyDescent="0.25">
      <c r="F67" s="4"/>
      <c r="G67" s="4"/>
    </row>
    <row r="68" spans="6:14" x14ac:dyDescent="0.25">
      <c r="F68" s="4"/>
      <c r="G68" s="4"/>
    </row>
    <row r="69" spans="6:14" x14ac:dyDescent="0.25">
      <c r="F69" s="4"/>
      <c r="G69" s="4"/>
    </row>
    <row r="70" spans="6:14" x14ac:dyDescent="0.25">
      <c r="F70" s="4"/>
      <c r="G70" s="4"/>
    </row>
    <row r="71" spans="6:14" x14ac:dyDescent="0.25">
      <c r="F71" s="4"/>
      <c r="G71" s="4"/>
    </row>
    <row r="72" spans="6:14" x14ac:dyDescent="0.25">
      <c r="F72" s="4"/>
      <c r="G72" s="4"/>
    </row>
    <row r="73" spans="6:14" x14ac:dyDescent="0.25">
      <c r="F73" s="4"/>
      <c r="G73" s="4"/>
    </row>
    <row r="74" spans="6:14" x14ac:dyDescent="0.25">
      <c r="F74" s="4"/>
      <c r="G74" s="4"/>
    </row>
    <row r="75" spans="6:14" x14ac:dyDescent="0.25">
      <c r="F75" s="4"/>
      <c r="G75" s="4"/>
    </row>
    <row r="76" spans="6:14" x14ac:dyDescent="0.25">
      <c r="F76" s="4"/>
      <c r="G76" s="4"/>
    </row>
    <row r="77" spans="6:14" x14ac:dyDescent="0.25">
      <c r="F77" s="4"/>
      <c r="G77" s="4"/>
    </row>
    <row r="78" spans="6:14" x14ac:dyDescent="0.25">
      <c r="F78" s="4"/>
      <c r="G78" s="4"/>
    </row>
    <row r="79" spans="6:14" x14ac:dyDescent="0.25">
      <c r="F79" s="4"/>
      <c r="G79" s="4"/>
    </row>
    <row r="80" spans="6:14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</sheetData>
  <sheetProtection algorithmName="SHA-512" hashValue="XH6kLsUI0vvsIRZutN+VXQrCLyAUPg0fSWUmDqFbQjgp9eU7j2xXdsSaIL2YyjtsFmvsAZpMjxd6NN1sDRs6mQ==" saltValue="P1iHxyti5K5lcBKAI7TT6A==" spinCount="100000" sheet="1" objects="1" scenarios="1"/>
  <pageMargins left="0.25" right="0.25" top="0.75" bottom="0.75" header="0.3" footer="0.3"/>
  <pageSetup scale="7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F8" sqref="F8"/>
    </sheetView>
  </sheetViews>
  <sheetFormatPr defaultRowHeight="15" x14ac:dyDescent="0.25"/>
  <cols>
    <col min="1" max="1" width="9.140625" style="19"/>
    <col min="2" max="2" width="14" style="19" bestFit="1" customWidth="1"/>
    <col min="3" max="3" width="17.42578125" style="113" customWidth="1"/>
    <col min="4" max="4" width="10.42578125" style="19" customWidth="1"/>
    <col min="5" max="5" width="9.140625" style="19"/>
    <col min="6" max="6" width="14" style="19" bestFit="1" customWidth="1"/>
    <col min="7" max="8" width="9.140625" style="19"/>
    <col min="9" max="9" width="9.85546875" style="19" customWidth="1"/>
    <col min="10" max="16384" width="9.140625" style="19"/>
  </cols>
  <sheetData>
    <row r="1" spans="1:4" ht="15.75" thickBot="1" x14ac:dyDescent="0.3">
      <c r="A1" s="15" t="s">
        <v>155</v>
      </c>
    </row>
    <row r="2" spans="1:4" ht="15.75" thickBot="1" x14ac:dyDescent="0.3">
      <c r="B2" s="152" t="s">
        <v>61</v>
      </c>
      <c r="C2" s="107"/>
      <c r="D2" s="153"/>
    </row>
    <row r="3" spans="1:4" x14ac:dyDescent="0.25">
      <c r="B3" s="35" t="s">
        <v>63</v>
      </c>
      <c r="C3" s="108" t="s">
        <v>64</v>
      </c>
      <c r="D3" s="36" t="s">
        <v>65</v>
      </c>
    </row>
    <row r="4" spans="1:4" x14ac:dyDescent="0.25">
      <c r="B4" s="30" t="s">
        <v>66</v>
      </c>
      <c r="C4" s="109" t="s">
        <v>66</v>
      </c>
      <c r="D4" s="31">
        <f>IF('Emission Calculations'!N15="","",IF('Emission Calculations'!N15&gt;50,50,'Emission Calculations'!N15))</f>
        <v>0</v>
      </c>
    </row>
    <row r="5" spans="1:4" x14ac:dyDescent="0.25">
      <c r="B5" s="32" t="s">
        <v>67</v>
      </c>
      <c r="C5" s="112" t="s">
        <v>67</v>
      </c>
      <c r="D5" s="31">
        <v>50</v>
      </c>
    </row>
    <row r="6" spans="1:4" x14ac:dyDescent="0.25">
      <c r="B6" s="32" t="s">
        <v>35</v>
      </c>
      <c r="C6" s="110" t="s">
        <v>68</v>
      </c>
      <c r="D6" s="31">
        <f>SUM('Emission Calculations'!N34:N35)</f>
        <v>0</v>
      </c>
    </row>
    <row r="7" spans="1:4" x14ac:dyDescent="0.25">
      <c r="B7" s="32" t="s">
        <v>69</v>
      </c>
      <c r="C7" s="110" t="s">
        <v>69</v>
      </c>
      <c r="D7" s="31">
        <f>SUM('Emission Calculations'!N37:N38)</f>
        <v>0</v>
      </c>
    </row>
    <row r="8" spans="1:4" x14ac:dyDescent="0.25">
      <c r="B8" s="32" t="s">
        <v>37</v>
      </c>
      <c r="C8" s="110" t="s">
        <v>37</v>
      </c>
      <c r="D8" s="31">
        <f>SUM('Emission Calculations'!N40:N41)</f>
        <v>0</v>
      </c>
    </row>
    <row r="9" spans="1:4" x14ac:dyDescent="0.25">
      <c r="B9" s="32" t="s">
        <v>38</v>
      </c>
      <c r="C9" s="110" t="s">
        <v>70</v>
      </c>
      <c r="D9" s="31">
        <f>SUM('Emission Calculations'!N43:N44)</f>
        <v>0</v>
      </c>
    </row>
    <row r="10" spans="1:4" x14ac:dyDescent="0.25">
      <c r="B10" s="32" t="s">
        <v>39</v>
      </c>
      <c r="C10" s="110"/>
      <c r="D10" s="31">
        <f>SUM('Emission Calculations'!N46:N47)</f>
        <v>0</v>
      </c>
    </row>
    <row r="11" spans="1:4" x14ac:dyDescent="0.25">
      <c r="B11" s="32" t="s">
        <v>40</v>
      </c>
      <c r="C11" s="110" t="s">
        <v>83</v>
      </c>
      <c r="D11" s="31">
        <f>SUM('Emission Calculations'!N49:N50)</f>
        <v>0</v>
      </c>
    </row>
    <row r="12" spans="1:4" x14ac:dyDescent="0.25">
      <c r="B12" s="32" t="s">
        <v>41</v>
      </c>
      <c r="C12" s="110" t="s">
        <v>71</v>
      </c>
      <c r="D12" s="31">
        <f>SUM('Emission Calculations'!N52:N53)</f>
        <v>0</v>
      </c>
    </row>
    <row r="13" spans="1:4" ht="15.75" thickBot="1" x14ac:dyDescent="0.3">
      <c r="B13" s="33" t="s">
        <v>72</v>
      </c>
      <c r="C13" s="111"/>
      <c r="D13" s="34">
        <f>SUM(D11:D12)</f>
        <v>0</v>
      </c>
    </row>
    <row r="15" spans="1:4" ht="15.75" thickBot="1" x14ac:dyDescent="0.3"/>
    <row r="16" spans="1:4" ht="15.75" thickBot="1" x14ac:dyDescent="0.3">
      <c r="B16" s="152" t="s">
        <v>62</v>
      </c>
      <c r="C16" s="107"/>
      <c r="D16" s="153"/>
    </row>
    <row r="17" spans="2:6" x14ac:dyDescent="0.25">
      <c r="B17" s="35" t="s">
        <v>63</v>
      </c>
      <c r="C17" s="108" t="s">
        <v>64</v>
      </c>
      <c r="D17" s="36" t="s">
        <v>65</v>
      </c>
    </row>
    <row r="18" spans="2:6" x14ac:dyDescent="0.25">
      <c r="B18" s="32" t="s">
        <v>66</v>
      </c>
      <c r="C18" s="109" t="s">
        <v>66</v>
      </c>
      <c r="D18" s="31">
        <f>IF('Emission Calculations'!O15="","",'Emission Calculations'!O15)</f>
        <v>0</v>
      </c>
      <c r="F18" s="15" t="str">
        <f t="shared" ref="F18:F27" si="0">IF(D18&lt;=D4,"","Actual Emissions are greater than Potential Emissions. Please contact the IAEAP or the Iowa DNR for assistance")</f>
        <v/>
      </c>
    </row>
    <row r="19" spans="2:6" x14ac:dyDescent="0.25">
      <c r="B19" s="32" t="s">
        <v>67</v>
      </c>
      <c r="C19" s="112" t="s">
        <v>67</v>
      </c>
      <c r="D19" s="31">
        <f>IF('Emission Calculations'!O29="","",'Emission Calculations'!O29)</f>
        <v>0</v>
      </c>
      <c r="F19" s="15" t="str">
        <f t="shared" si="0"/>
        <v/>
      </c>
    </row>
    <row r="20" spans="2:6" x14ac:dyDescent="0.25">
      <c r="B20" s="32" t="s">
        <v>35</v>
      </c>
      <c r="C20" s="110" t="s">
        <v>68</v>
      </c>
      <c r="D20" s="31">
        <f>SUM('Emission Calculations'!O34:O35)</f>
        <v>0</v>
      </c>
      <c r="F20" s="15" t="str">
        <f t="shared" si="0"/>
        <v/>
      </c>
    </row>
    <row r="21" spans="2:6" x14ac:dyDescent="0.25">
      <c r="B21" s="32" t="s">
        <v>69</v>
      </c>
      <c r="C21" s="110" t="s">
        <v>69</v>
      </c>
      <c r="D21" s="31">
        <f>SUM('Emission Calculations'!O37:O38)</f>
        <v>0</v>
      </c>
      <c r="F21" s="15" t="str">
        <f t="shared" si="0"/>
        <v/>
      </c>
    </row>
    <row r="22" spans="2:6" x14ac:dyDescent="0.25">
      <c r="B22" s="32" t="s">
        <v>37</v>
      </c>
      <c r="C22" s="110" t="s">
        <v>37</v>
      </c>
      <c r="D22" s="31">
        <f>SUM('Emission Calculations'!O40:O41)</f>
        <v>0</v>
      </c>
      <c r="F22" s="15" t="str">
        <f t="shared" si="0"/>
        <v/>
      </c>
    </row>
    <row r="23" spans="2:6" x14ac:dyDescent="0.25">
      <c r="B23" s="32" t="s">
        <v>38</v>
      </c>
      <c r="C23" s="110" t="s">
        <v>70</v>
      </c>
      <c r="D23" s="31">
        <f>SUM('Emission Calculations'!O43:O44)</f>
        <v>0</v>
      </c>
      <c r="F23" s="15" t="str">
        <f t="shared" si="0"/>
        <v/>
      </c>
    </row>
    <row r="24" spans="2:6" x14ac:dyDescent="0.25">
      <c r="B24" s="32" t="s">
        <v>39</v>
      </c>
      <c r="C24" s="110"/>
      <c r="D24" s="31">
        <f>SUM('Emission Calculations'!O46:O47)</f>
        <v>0</v>
      </c>
      <c r="F24" s="15" t="str">
        <f t="shared" si="0"/>
        <v/>
      </c>
    </row>
    <row r="25" spans="2:6" x14ac:dyDescent="0.25">
      <c r="B25" s="32" t="s">
        <v>40</v>
      </c>
      <c r="C25" s="110" t="s">
        <v>83</v>
      </c>
      <c r="D25" s="31">
        <f>SUM('Emission Calculations'!O49:O50)</f>
        <v>0</v>
      </c>
      <c r="F25" s="15" t="str">
        <f t="shared" si="0"/>
        <v/>
      </c>
    </row>
    <row r="26" spans="2:6" x14ac:dyDescent="0.25">
      <c r="B26" s="32" t="s">
        <v>41</v>
      </c>
      <c r="C26" s="110" t="s">
        <v>71</v>
      </c>
      <c r="D26" s="31">
        <f>SUM('Emission Calculations'!O52:O53)</f>
        <v>0</v>
      </c>
      <c r="F26" s="15" t="str">
        <f t="shared" si="0"/>
        <v/>
      </c>
    </row>
    <row r="27" spans="2:6" ht="15.75" thickBot="1" x14ac:dyDescent="0.3">
      <c r="B27" s="33" t="s">
        <v>72</v>
      </c>
      <c r="C27" s="111"/>
      <c r="D27" s="34">
        <f>SUM(D25:D26)</f>
        <v>0</v>
      </c>
      <c r="F27" s="15" t="str">
        <f t="shared" si="0"/>
        <v/>
      </c>
    </row>
  </sheetData>
  <sheetProtection algorithmName="SHA-512" hashValue="R/lxRdYOgjY7A5YvthlC79YLigFpQlVnjXcD9MCw3d6Gk9d0+Iyf87hiM5VRmO8UO61LEw8kfHogvoimQIfGHw==" saltValue="CgYIlyUjHz6eVgnZBruIgg==" spinCount="100000" sheet="1" objects="1" scenarios="1"/>
  <pageMargins left="0.7" right="0.7" top="0.75" bottom="0.7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zoomScaleNormal="100" workbookViewId="0">
      <selection activeCell="B56" sqref="B56"/>
    </sheetView>
  </sheetViews>
  <sheetFormatPr defaultRowHeight="15" x14ac:dyDescent="0.25"/>
  <cols>
    <col min="1" max="1" width="27.85546875" style="19" bestFit="1" customWidth="1"/>
    <col min="2" max="2" width="9.5703125" style="19" bestFit="1" customWidth="1"/>
    <col min="3" max="3" width="10.28515625" style="19" customWidth="1"/>
    <col min="4" max="4" width="9.140625" style="19" customWidth="1"/>
    <col min="5" max="5" width="8.7109375" style="19" customWidth="1"/>
    <col min="6" max="6" width="7.85546875" style="19" customWidth="1"/>
    <col min="7" max="7" width="26.85546875" style="19" bestFit="1" customWidth="1"/>
    <col min="8" max="8" width="4.42578125" style="19" bestFit="1" customWidth="1"/>
    <col min="9" max="9" width="9.5703125" style="19" bestFit="1" customWidth="1"/>
    <col min="10" max="10" width="5.5703125" style="19" bestFit="1" customWidth="1"/>
    <col min="11" max="11" width="10.140625" style="19" bestFit="1" customWidth="1"/>
    <col min="12" max="12" width="4.85546875" style="19" bestFit="1" customWidth="1"/>
    <col min="13" max="13" width="10.140625" style="19" bestFit="1" customWidth="1"/>
    <col min="14" max="14" width="4.5703125" style="19" bestFit="1" customWidth="1"/>
    <col min="15" max="15" width="10.140625" style="19" bestFit="1" customWidth="1"/>
    <col min="16" max="16" width="9.5703125" style="19" bestFit="1" customWidth="1"/>
    <col min="17" max="17" width="10.140625" style="19" bestFit="1" customWidth="1"/>
    <col min="18" max="18" width="7.7109375" style="19" bestFit="1" customWidth="1"/>
    <col min="19" max="19" width="10.140625" style="19" bestFit="1" customWidth="1"/>
    <col min="20" max="20" width="14" style="19" bestFit="1" customWidth="1"/>
    <col min="21" max="21" width="10.140625" style="19" bestFit="1" customWidth="1"/>
    <col min="22" max="16384" width="9.140625" style="19"/>
  </cols>
  <sheetData>
    <row r="1" spans="1:21" x14ac:dyDescent="0.25">
      <c r="A1" s="43" t="s">
        <v>136</v>
      </c>
    </row>
    <row r="2" spans="1:21" x14ac:dyDescent="0.25">
      <c r="D2" s="25"/>
    </row>
    <row r="3" spans="1:21" x14ac:dyDescent="0.25">
      <c r="E3" s="154"/>
      <c r="F3" s="154"/>
      <c r="G3" s="154"/>
      <c r="H3" s="154"/>
      <c r="I3" s="154"/>
      <c r="J3" s="154"/>
      <c r="K3" s="154"/>
      <c r="L3" s="154"/>
      <c r="M3" s="114" t="s">
        <v>111</v>
      </c>
      <c r="N3" s="154"/>
      <c r="O3" s="154"/>
      <c r="P3" s="154"/>
      <c r="Q3" s="154"/>
      <c r="R3" s="154"/>
      <c r="S3" s="154"/>
      <c r="T3" s="154"/>
      <c r="U3" s="154"/>
    </row>
    <row r="4" spans="1:21" s="24" customFormat="1" x14ac:dyDescent="0.25">
      <c r="A4" s="24" t="s">
        <v>11</v>
      </c>
      <c r="B4" s="24" t="s">
        <v>44</v>
      </c>
      <c r="D4" s="24" t="s">
        <v>112</v>
      </c>
      <c r="E4" s="24" t="s">
        <v>31</v>
      </c>
      <c r="F4" s="24" t="s">
        <v>59</v>
      </c>
      <c r="G4" s="24" t="s">
        <v>31</v>
      </c>
      <c r="H4" s="24" t="s">
        <v>35</v>
      </c>
      <c r="I4" s="24" t="s">
        <v>31</v>
      </c>
      <c r="J4" s="24" t="s">
        <v>36</v>
      </c>
      <c r="K4" s="24" t="s">
        <v>31</v>
      </c>
      <c r="L4" s="24" t="s">
        <v>37</v>
      </c>
      <c r="M4" s="24" t="s">
        <v>31</v>
      </c>
      <c r="N4" s="24" t="s">
        <v>38</v>
      </c>
      <c r="O4" s="24" t="s">
        <v>31</v>
      </c>
      <c r="P4" s="24" t="s">
        <v>39</v>
      </c>
      <c r="Q4" s="24" t="s">
        <v>31</v>
      </c>
      <c r="R4" s="24" t="s">
        <v>40</v>
      </c>
      <c r="S4" s="24" t="s">
        <v>31</v>
      </c>
      <c r="T4" s="24" t="s">
        <v>41</v>
      </c>
      <c r="U4" s="24" t="s">
        <v>31</v>
      </c>
    </row>
    <row r="5" spans="1:21" x14ac:dyDescent="0.25">
      <c r="A5" s="19" t="s">
        <v>20</v>
      </c>
      <c r="B5" s="19">
        <v>30200527</v>
      </c>
      <c r="D5" s="19">
        <v>9.4000000000000004E-3</v>
      </c>
      <c r="E5" s="19" t="s">
        <v>32</v>
      </c>
      <c r="F5" s="19">
        <v>5.5E-2</v>
      </c>
      <c r="G5" s="19" t="s">
        <v>32</v>
      </c>
    </row>
    <row r="6" spans="1:21" x14ac:dyDescent="0.25">
      <c r="A6" s="19" t="s">
        <v>19</v>
      </c>
      <c r="B6" s="19">
        <v>30200528</v>
      </c>
      <c r="D6" s="19">
        <v>0.13</v>
      </c>
      <c r="E6" s="19" t="s">
        <v>32</v>
      </c>
      <c r="F6" s="19">
        <v>0.75</v>
      </c>
      <c r="G6" s="19" t="s">
        <v>32</v>
      </c>
    </row>
    <row r="7" spans="1:21" x14ac:dyDescent="0.25">
      <c r="A7" s="19" t="s">
        <v>16</v>
      </c>
      <c r="B7" s="19">
        <v>30200537</v>
      </c>
      <c r="D7" s="19">
        <v>1.6E-2</v>
      </c>
      <c r="E7" s="19" t="s">
        <v>32</v>
      </c>
      <c r="F7" s="19">
        <v>9.5000000000000001E-2</v>
      </c>
      <c r="G7" s="19" t="s">
        <v>32</v>
      </c>
    </row>
    <row r="8" spans="1:21" x14ac:dyDescent="0.25">
      <c r="A8" s="19" t="s">
        <v>15</v>
      </c>
      <c r="B8" s="19">
        <v>30200530</v>
      </c>
      <c r="D8" s="19">
        <v>5.7999999999999996E-3</v>
      </c>
      <c r="E8" s="19" t="s">
        <v>32</v>
      </c>
      <c r="F8" s="19">
        <v>3.4000000000000002E-2</v>
      </c>
      <c r="G8" s="19" t="s">
        <v>32</v>
      </c>
    </row>
    <row r="9" spans="1:21" x14ac:dyDescent="0.25">
      <c r="A9" s="19" t="s">
        <v>14</v>
      </c>
      <c r="B9" s="19">
        <v>30200540</v>
      </c>
      <c r="D9" s="19">
        <v>1.1000000000000001E-3</v>
      </c>
      <c r="E9" s="19" t="s">
        <v>32</v>
      </c>
      <c r="F9" s="19">
        <v>6.3E-3</v>
      </c>
      <c r="G9" s="19" t="s">
        <v>32</v>
      </c>
    </row>
    <row r="10" spans="1:21" x14ac:dyDescent="0.25">
      <c r="A10" s="19" t="s">
        <v>23</v>
      </c>
      <c r="B10" s="19">
        <v>30200564</v>
      </c>
      <c r="D10" s="19">
        <v>5.5000000000000003E-4</v>
      </c>
      <c r="E10" s="19" t="s">
        <v>32</v>
      </c>
      <c r="F10" s="19">
        <v>4.0000000000000001E-3</v>
      </c>
      <c r="G10" s="19" t="s">
        <v>32</v>
      </c>
    </row>
    <row r="11" spans="1:21" x14ac:dyDescent="0.25">
      <c r="A11" s="19" t="s">
        <v>22</v>
      </c>
      <c r="B11" s="19">
        <v>30200563</v>
      </c>
      <c r="D11" s="19">
        <v>3.6999999999999999E-4</v>
      </c>
      <c r="E11" s="19" t="s">
        <v>32</v>
      </c>
      <c r="F11" s="19">
        <v>2.2000000000000001E-3</v>
      </c>
      <c r="G11" s="19" t="s">
        <v>32</v>
      </c>
    </row>
    <row r="12" spans="1:21" x14ac:dyDescent="0.25">
      <c r="A12" s="19" t="s">
        <v>21</v>
      </c>
      <c r="B12" s="19">
        <v>30200560</v>
      </c>
      <c r="D12" s="19">
        <v>4.8999999999999998E-3</v>
      </c>
      <c r="E12" s="19" t="s">
        <v>32</v>
      </c>
      <c r="F12" s="19">
        <v>2.9000000000000001E-2</v>
      </c>
      <c r="G12" s="19" t="s">
        <v>32</v>
      </c>
    </row>
    <row r="13" spans="1:21" x14ac:dyDescent="0.25">
      <c r="A13" s="19" t="s">
        <v>33</v>
      </c>
      <c r="B13" s="19">
        <v>30200552</v>
      </c>
      <c r="D13" s="19">
        <v>1.2999999999999999E-3</v>
      </c>
      <c r="E13" s="19" t="s">
        <v>32</v>
      </c>
      <c r="F13" s="19">
        <v>7.7999999999999996E-3</v>
      </c>
      <c r="G13" s="19" t="s">
        <v>32</v>
      </c>
    </row>
    <row r="14" spans="1:21" x14ac:dyDescent="0.25">
      <c r="A14" s="19" t="s">
        <v>18</v>
      </c>
      <c r="B14" s="19">
        <v>30200553</v>
      </c>
      <c r="D14" s="19">
        <v>1.2999999999999999E-3</v>
      </c>
      <c r="E14" s="19" t="s">
        <v>32</v>
      </c>
      <c r="F14" s="19">
        <v>7.7999999999999996E-3</v>
      </c>
      <c r="G14" s="19" t="s">
        <v>32</v>
      </c>
    </row>
    <row r="15" spans="1:21" x14ac:dyDescent="0.25">
      <c r="A15" s="19" t="s">
        <v>34</v>
      </c>
      <c r="B15" s="19">
        <v>30200551</v>
      </c>
      <c r="D15" s="19">
        <v>0.01</v>
      </c>
      <c r="E15" s="19" t="s">
        <v>32</v>
      </c>
      <c r="F15" s="19">
        <v>5.8999999999999997E-2</v>
      </c>
      <c r="G15" s="19" t="s">
        <v>32</v>
      </c>
    </row>
    <row r="16" spans="1:21" x14ac:dyDescent="0.25">
      <c r="A16" s="19" t="s">
        <v>43</v>
      </c>
      <c r="B16" s="19">
        <v>10200602</v>
      </c>
      <c r="C16" s="19" t="s">
        <v>79</v>
      </c>
      <c r="H16" s="19">
        <v>0.6</v>
      </c>
      <c r="I16" s="19" t="s">
        <v>42</v>
      </c>
      <c r="J16" s="19">
        <v>100</v>
      </c>
      <c r="K16" s="19" t="s">
        <v>42</v>
      </c>
      <c r="L16" s="19">
        <v>5.5</v>
      </c>
      <c r="M16" s="19" t="s">
        <v>42</v>
      </c>
      <c r="N16" s="19">
        <v>84</v>
      </c>
      <c r="O16" s="19" t="s">
        <v>42</v>
      </c>
      <c r="P16" s="19">
        <v>3.2</v>
      </c>
      <c r="Q16" s="19" t="s">
        <v>42</v>
      </c>
      <c r="R16" s="19">
        <v>1.8</v>
      </c>
      <c r="S16" s="19" t="s">
        <v>42</v>
      </c>
      <c r="T16" s="19">
        <v>7.4999999999999997E-2</v>
      </c>
      <c r="U16" s="19" t="s">
        <v>42</v>
      </c>
    </row>
    <row r="17" spans="1:20" x14ac:dyDescent="0.25">
      <c r="A17" s="19" t="s">
        <v>81</v>
      </c>
      <c r="B17" s="19">
        <v>10201002</v>
      </c>
      <c r="C17" s="19" t="s">
        <v>80</v>
      </c>
      <c r="H17" s="19">
        <v>0.1</v>
      </c>
      <c r="I17" s="38" t="s">
        <v>82</v>
      </c>
      <c r="J17" s="37">
        <v>13</v>
      </c>
      <c r="K17" s="38" t="s">
        <v>82</v>
      </c>
      <c r="L17" s="37">
        <v>1</v>
      </c>
      <c r="M17" s="38" t="s">
        <v>82</v>
      </c>
      <c r="N17" s="37">
        <v>7.5</v>
      </c>
      <c r="O17" s="38" t="s">
        <v>82</v>
      </c>
      <c r="P17" s="37"/>
      <c r="Q17" s="38"/>
      <c r="R17" s="37"/>
      <c r="S17" s="38"/>
      <c r="T17" s="37"/>
    </row>
    <row r="18" spans="1:20" x14ac:dyDescent="0.25">
      <c r="I18" s="38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/>
    </row>
    <row r="19" spans="1:20" x14ac:dyDescent="0.25">
      <c r="A19" s="19" t="s">
        <v>116</v>
      </c>
      <c r="B19" s="19">
        <v>30205054</v>
      </c>
      <c r="D19" s="62" t="s">
        <v>149</v>
      </c>
      <c r="E19" s="62"/>
      <c r="F19" s="62"/>
      <c r="G19" s="62"/>
      <c r="H19" s="63"/>
      <c r="I19" s="38"/>
      <c r="J19" s="37"/>
      <c r="K19" s="38"/>
      <c r="L19" s="37"/>
      <c r="M19" s="38"/>
      <c r="N19" s="37"/>
      <c r="O19" s="38"/>
      <c r="P19" s="37"/>
      <c r="Q19" s="38"/>
      <c r="R19" s="37"/>
      <c r="S19" s="38"/>
      <c r="T19" s="37"/>
    </row>
    <row r="20" spans="1:20" x14ac:dyDescent="0.25">
      <c r="D20" s="62"/>
      <c r="E20" s="62"/>
      <c r="G20" s="62"/>
      <c r="I20" s="62" t="s">
        <v>140</v>
      </c>
      <c r="J20" s="37"/>
      <c r="K20" s="38"/>
      <c r="L20" s="37"/>
      <c r="M20" s="38"/>
      <c r="N20" s="37"/>
      <c r="O20" s="38"/>
      <c r="P20" s="37"/>
      <c r="Q20" s="38"/>
      <c r="R20" s="37"/>
      <c r="S20" s="38"/>
      <c r="T20" s="37"/>
    </row>
    <row r="21" spans="1:20" x14ac:dyDescent="0.25">
      <c r="D21" s="62"/>
      <c r="E21" s="62"/>
      <c r="G21" s="62"/>
      <c r="I21" s="62" t="s">
        <v>141</v>
      </c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</row>
    <row r="22" spans="1:20" x14ac:dyDescent="0.25">
      <c r="D22" s="62"/>
      <c r="E22" s="62"/>
      <c r="G22" s="62"/>
      <c r="I22" s="62" t="s">
        <v>142</v>
      </c>
    </row>
    <row r="23" spans="1:20" x14ac:dyDescent="0.25">
      <c r="D23" s="62"/>
      <c r="E23" s="62"/>
      <c r="G23" s="62"/>
      <c r="I23" s="77" t="s">
        <v>150</v>
      </c>
    </row>
    <row r="24" spans="1:20" x14ac:dyDescent="0.25">
      <c r="D24" s="62"/>
      <c r="E24" s="62"/>
      <c r="G24" s="62"/>
      <c r="I24" s="77"/>
    </row>
    <row r="25" spans="1:20" s="24" customFormat="1" x14ac:dyDescent="0.25">
      <c r="A25" s="29" t="s">
        <v>30</v>
      </c>
      <c r="B25" s="29" t="s">
        <v>45</v>
      </c>
      <c r="D25" s="115" t="s">
        <v>109</v>
      </c>
      <c r="E25" s="148"/>
      <c r="F25" s="148"/>
      <c r="G25" s="148"/>
      <c r="H25" s="148"/>
    </row>
    <row r="26" spans="1:20" x14ac:dyDescent="0.25">
      <c r="A26" s="26" t="s">
        <v>46</v>
      </c>
      <c r="B26" s="19">
        <v>95</v>
      </c>
      <c r="D26" s="113" t="s">
        <v>110</v>
      </c>
      <c r="E26" s="150"/>
    </row>
    <row r="27" spans="1:20" x14ac:dyDescent="0.25">
      <c r="A27" s="26" t="s">
        <v>28</v>
      </c>
      <c r="B27" s="19">
        <v>95</v>
      </c>
      <c r="D27" s="113" t="s">
        <v>110</v>
      </c>
      <c r="E27" s="150"/>
    </row>
    <row r="28" spans="1:20" x14ac:dyDescent="0.25">
      <c r="A28" s="26" t="s">
        <v>47</v>
      </c>
      <c r="B28" s="19">
        <v>80</v>
      </c>
      <c r="D28" s="113" t="s">
        <v>110</v>
      </c>
      <c r="E28" s="150"/>
    </row>
    <row r="29" spans="1:20" x14ac:dyDescent="0.25">
      <c r="A29" s="26" t="s">
        <v>161</v>
      </c>
      <c r="B29" s="19">
        <v>56</v>
      </c>
      <c r="D29" s="113" t="s">
        <v>151</v>
      </c>
      <c r="E29" s="150"/>
    </row>
    <row r="30" spans="1:20" x14ac:dyDescent="0.25">
      <c r="A30" s="26" t="s">
        <v>29</v>
      </c>
      <c r="B30" s="19">
        <v>50</v>
      </c>
      <c r="D30" s="113" t="s">
        <v>151</v>
      </c>
      <c r="E30" s="150"/>
    </row>
    <row r="31" spans="1:20" x14ac:dyDescent="0.25">
      <c r="A31" s="26" t="s">
        <v>145</v>
      </c>
      <c r="B31" s="19">
        <v>40</v>
      </c>
      <c r="D31" s="113" t="s">
        <v>110</v>
      </c>
      <c r="E31" s="150"/>
    </row>
    <row r="32" spans="1:20" x14ac:dyDescent="0.25">
      <c r="A32" s="26" t="s">
        <v>157</v>
      </c>
      <c r="B32" s="19">
        <v>56</v>
      </c>
      <c r="D32" s="113" t="s">
        <v>151</v>
      </c>
      <c r="E32" s="150"/>
    </row>
    <row r="33" spans="1:7" x14ac:dyDescent="0.25">
      <c r="A33" s="26" t="s">
        <v>158</v>
      </c>
      <c r="B33" s="19">
        <v>56</v>
      </c>
      <c r="D33" s="113" t="s">
        <v>151</v>
      </c>
      <c r="E33" s="150"/>
    </row>
    <row r="34" spans="1:7" x14ac:dyDescent="0.25">
      <c r="A34" s="26" t="s">
        <v>159</v>
      </c>
      <c r="B34" s="19">
        <v>40</v>
      </c>
      <c r="D34" s="113" t="s">
        <v>151</v>
      </c>
      <c r="E34" s="150"/>
    </row>
    <row r="35" spans="1:7" x14ac:dyDescent="0.25">
      <c r="A35" s="26" t="s">
        <v>160</v>
      </c>
      <c r="B35" s="19">
        <v>32</v>
      </c>
      <c r="D35" s="113" t="s">
        <v>151</v>
      </c>
      <c r="E35" s="150"/>
    </row>
    <row r="37" spans="1:7" hidden="1" x14ac:dyDescent="0.25">
      <c r="A37" s="97" t="s">
        <v>166</v>
      </c>
      <c r="C37" s="94"/>
      <c r="D37" s="94"/>
      <c r="E37" s="94"/>
    </row>
    <row r="38" spans="1:7" hidden="1" x14ac:dyDescent="0.25">
      <c r="A38" s="26"/>
      <c r="C38" s="92"/>
      <c r="D38" s="92"/>
      <c r="E38" s="92"/>
    </row>
    <row r="39" spans="1:7" hidden="1" x14ac:dyDescent="0.25">
      <c r="A39" s="150" t="s">
        <v>30</v>
      </c>
      <c r="B39" s="150"/>
      <c r="C39" s="88"/>
      <c r="D39" s="87" t="s">
        <v>45</v>
      </c>
    </row>
    <row r="40" spans="1:7" hidden="1" x14ac:dyDescent="0.25">
      <c r="A40" s="67" t="s">
        <v>46</v>
      </c>
      <c r="D40" s="19">
        <v>95</v>
      </c>
      <c r="G40" s="67"/>
    </row>
    <row r="41" spans="1:7" hidden="1" x14ac:dyDescent="0.25">
      <c r="A41" s="62" t="s">
        <v>156</v>
      </c>
      <c r="D41" s="19">
        <v>99</v>
      </c>
      <c r="G41" s="67"/>
    </row>
    <row r="42" spans="1:7" hidden="1" x14ac:dyDescent="0.25">
      <c r="A42" s="78" t="s">
        <v>164</v>
      </c>
      <c r="D42" s="19">
        <v>97.5</v>
      </c>
      <c r="G42" s="67"/>
    </row>
    <row r="43" spans="1:7" hidden="1" x14ac:dyDescent="0.25">
      <c r="A43" s="68" t="s">
        <v>28</v>
      </c>
      <c r="D43" s="19">
        <v>95</v>
      </c>
      <c r="G43" s="67"/>
    </row>
    <row r="44" spans="1:7" hidden="1" x14ac:dyDescent="0.25">
      <c r="A44" s="78" t="s">
        <v>162</v>
      </c>
      <c r="D44" s="19">
        <v>97.8</v>
      </c>
      <c r="G44" s="67"/>
    </row>
    <row r="45" spans="1:7" hidden="1" x14ac:dyDescent="0.25">
      <c r="A45" s="68" t="s">
        <v>47</v>
      </c>
      <c r="D45" s="19">
        <v>80</v>
      </c>
      <c r="G45" s="67"/>
    </row>
    <row r="46" spans="1:7" hidden="1" x14ac:dyDescent="0.25">
      <c r="A46" s="78" t="s">
        <v>165</v>
      </c>
      <c r="D46" s="19">
        <v>90</v>
      </c>
    </row>
    <row r="47" spans="1:7" hidden="1" x14ac:dyDescent="0.25">
      <c r="A47" s="67" t="s">
        <v>145</v>
      </c>
      <c r="D47" s="19">
        <v>40</v>
      </c>
    </row>
    <row r="48" spans="1:7" hidden="1" x14ac:dyDescent="0.25">
      <c r="A48" s="67" t="s">
        <v>159</v>
      </c>
      <c r="D48" s="19">
        <v>40</v>
      </c>
    </row>
    <row r="49" spans="1:4" hidden="1" x14ac:dyDescent="0.25">
      <c r="A49" s="68" t="s">
        <v>157</v>
      </c>
      <c r="D49" s="19">
        <v>56</v>
      </c>
    </row>
    <row r="50" spans="1:4" hidden="1" x14ac:dyDescent="0.25">
      <c r="A50" s="78" t="s">
        <v>160</v>
      </c>
      <c r="D50" s="19">
        <v>32</v>
      </c>
    </row>
    <row r="51" spans="1:4" hidden="1" x14ac:dyDescent="0.25">
      <c r="A51" s="78" t="s">
        <v>158</v>
      </c>
      <c r="D51" s="19">
        <v>56</v>
      </c>
    </row>
    <row r="52" spans="1:4" hidden="1" x14ac:dyDescent="0.25">
      <c r="A52" s="78" t="s">
        <v>161</v>
      </c>
      <c r="D52" s="19">
        <v>56</v>
      </c>
    </row>
    <row r="53" spans="1:4" hidden="1" x14ac:dyDescent="0.25">
      <c r="A53" s="78" t="s">
        <v>29</v>
      </c>
      <c r="D53" s="19">
        <v>50</v>
      </c>
    </row>
  </sheetData>
  <sheetProtection algorithmName="SHA-512" hashValue="HLxjq7QdKjR9JEcnM1z7TUlnb+p4sXPHbUKjTX4gSjF9+ZDYNehX1GAVqq5QmI9SSM6ZgwGu9tOXDpl4Xuo/Hg==" saltValue="TuXyNw22Xw6MfapTzPPUe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26</vt:i4>
      </vt:variant>
    </vt:vector>
  </HeadingPairs>
  <TitlesOfParts>
    <vt:vector size="31" baseType="lpstr">
      <vt:lpstr>Facility Information</vt:lpstr>
      <vt:lpstr>Facility Processes</vt:lpstr>
      <vt:lpstr>Emission Calculations</vt:lpstr>
      <vt:lpstr>Facility Wide Emissions</vt:lpstr>
      <vt:lpstr>Emission Factors</vt:lpstr>
      <vt:lpstr>apptype</vt:lpstr>
      <vt:lpstr>aptype</vt:lpstr>
      <vt:lpstr>CHS</vt:lpstr>
      <vt:lpstr>CHSCon</vt:lpstr>
      <vt:lpstr>CHSControl</vt:lpstr>
      <vt:lpstr>CISCon</vt:lpstr>
      <vt:lpstr>CleanHandleStore</vt:lpstr>
      <vt:lpstr>Combust</vt:lpstr>
      <vt:lpstr>Combustion</vt:lpstr>
      <vt:lpstr>Dryer</vt:lpstr>
      <vt:lpstr>Drying</vt:lpstr>
      <vt:lpstr>Employ</vt:lpstr>
      <vt:lpstr>LCon</vt:lpstr>
      <vt:lpstr>LControl</vt:lpstr>
      <vt:lpstr>Load</vt:lpstr>
      <vt:lpstr>LoadCon</vt:lpstr>
      <vt:lpstr>Loading</vt:lpstr>
      <vt:lpstr>Loadout</vt:lpstr>
      <vt:lpstr>Oil</vt:lpstr>
      <vt:lpstr>OilCon</vt:lpstr>
      <vt:lpstr>RCon</vt:lpstr>
      <vt:lpstr>ReceivCon</vt:lpstr>
      <vt:lpstr>Receive</vt:lpstr>
      <vt:lpstr>ReceiveCon</vt:lpstr>
      <vt:lpstr>Receiving</vt:lpstr>
      <vt:lpstr>RoadCon</vt:lpstr>
    </vt:vector>
  </TitlesOfParts>
  <Company>IWRC 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Wittenburg</dc:creator>
  <cp:lastModifiedBy>Jennifer L Wittenburg</cp:lastModifiedBy>
  <cp:lastPrinted>2018-04-20T14:38:55Z</cp:lastPrinted>
  <dcterms:created xsi:type="dcterms:W3CDTF">2011-11-02T19:41:52Z</dcterms:created>
  <dcterms:modified xsi:type="dcterms:W3CDTF">2020-01-22T22:41:01Z</dcterms:modified>
</cp:coreProperties>
</file>