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IAEAP\MSEI\Calculators\2020 Calculators\"/>
    </mc:Choice>
  </mc:AlternateContent>
  <bookViews>
    <workbookView xWindow="285" yWindow="-15" windowWidth="17220" windowHeight="11580"/>
  </bookViews>
  <sheets>
    <sheet name="Combustion" sheetId="2" r:id="rId1"/>
    <sheet name="Permit Limits" sheetId="6" state="hidden" r:id="rId2"/>
    <sheet name="INV-3" sheetId="4" state="hidden" r:id="rId3"/>
    <sheet name="INV-4" sheetId="5" r:id="rId4"/>
    <sheet name="Emission Factors" sheetId="7" r:id="rId5"/>
  </sheets>
  <definedNames>
    <definedName name="Diesel">Combustion!$A$26:$A$27</definedName>
    <definedName name="_xlnm.Print_Area" localSheetId="3">'INV-4'!$A$3:$J$26</definedName>
  </definedNames>
  <calcPr calcId="162913"/>
</workbook>
</file>

<file path=xl/calcChain.xml><?xml version="1.0" encoding="utf-8"?>
<calcChain xmlns="http://schemas.openxmlformats.org/spreadsheetml/2006/main">
  <c r="I25" i="2" l="1"/>
  <c r="E41" i="5" l="1"/>
  <c r="E14" i="5"/>
  <c r="E14" i="4"/>
  <c r="B11" i="2"/>
  <c r="A12" i="2"/>
  <c r="D5" i="5" s="1"/>
  <c r="A13" i="2"/>
  <c r="D6" i="4" s="1"/>
  <c r="E10" i="2"/>
  <c r="D6" i="5" s="1"/>
  <c r="I13" i="4"/>
  <c r="E25" i="2"/>
  <c r="D33" i="5"/>
  <c r="D33" i="4"/>
  <c r="G25" i="2"/>
  <c r="D30" i="4" s="1"/>
  <c r="G10" i="2"/>
  <c r="D4" i="4" s="1"/>
  <c r="K22" i="2"/>
  <c r="I22" i="2"/>
  <c r="A22" i="4"/>
  <c r="K21" i="2"/>
  <c r="J22" i="2"/>
  <c r="I21" i="2"/>
  <c r="B26" i="5" s="1"/>
  <c r="K20" i="2"/>
  <c r="J21" i="2"/>
  <c r="B21" i="4" s="1"/>
  <c r="J20" i="2"/>
  <c r="I20" i="2"/>
  <c r="A25" i="5" s="1"/>
  <c r="I19" i="2"/>
  <c r="A24" i="5" s="1"/>
  <c r="K19" i="2"/>
  <c r="J19" i="2"/>
  <c r="J18" i="2"/>
  <c r="K18" i="2"/>
  <c r="K35" i="2"/>
  <c r="I35" i="2"/>
  <c r="B51" i="4"/>
  <c r="F51" i="4" s="1"/>
  <c r="J51" i="4" s="1"/>
  <c r="K34" i="2"/>
  <c r="I34" i="2"/>
  <c r="A50" i="4" s="1"/>
  <c r="J35" i="2"/>
  <c r="C52" i="5" s="1"/>
  <c r="J34" i="2"/>
  <c r="J33" i="2"/>
  <c r="I33" i="2"/>
  <c r="K33" i="2"/>
  <c r="D50" i="5" s="1"/>
  <c r="E19" i="6"/>
  <c r="I19" i="6"/>
  <c r="E18" i="6"/>
  <c r="J26" i="2"/>
  <c r="J27" i="2"/>
  <c r="J28" i="2"/>
  <c r="J29" i="2"/>
  <c r="C42" i="4" s="1"/>
  <c r="J30" i="2"/>
  <c r="J31" i="2"/>
  <c r="J32" i="2"/>
  <c r="J25" i="2"/>
  <c r="D34" i="5"/>
  <c r="D32" i="4"/>
  <c r="D32" i="5"/>
  <c r="I43" i="4"/>
  <c r="I42" i="4"/>
  <c r="B46" i="5"/>
  <c r="D46" i="5"/>
  <c r="D7" i="4"/>
  <c r="F42" i="4" s="1"/>
  <c r="J42" i="4" s="1"/>
  <c r="I15" i="4"/>
  <c r="D31" i="4"/>
  <c r="E25" i="6"/>
  <c r="E26" i="6"/>
  <c r="E9" i="2"/>
  <c r="F7" i="4"/>
  <c r="I10" i="2"/>
  <c r="B12" i="4"/>
  <c r="D12" i="4" s="1"/>
  <c r="J10" i="2"/>
  <c r="K10" i="2"/>
  <c r="I11" i="2"/>
  <c r="C13" i="4"/>
  <c r="J11" i="2"/>
  <c r="K11" i="2"/>
  <c r="I12" i="2"/>
  <c r="F14" i="4"/>
  <c r="J12" i="2"/>
  <c r="C14" i="5"/>
  <c r="K12" i="2"/>
  <c r="I13" i="2"/>
  <c r="I15" i="5" s="1"/>
  <c r="J13" i="2"/>
  <c r="K13" i="2"/>
  <c r="I14" i="2"/>
  <c r="B16" i="5" s="1"/>
  <c r="J14" i="2"/>
  <c r="K14" i="2"/>
  <c r="I15" i="2"/>
  <c r="C17" i="5" s="1"/>
  <c r="J15" i="2"/>
  <c r="K15" i="2"/>
  <c r="I16" i="2"/>
  <c r="B21" i="5" s="1"/>
  <c r="J16" i="2"/>
  <c r="K16" i="2"/>
  <c r="I17" i="2"/>
  <c r="A22" i="5" s="1"/>
  <c r="J17" i="2"/>
  <c r="K17" i="2"/>
  <c r="I18" i="2"/>
  <c r="C24" i="5" s="1"/>
  <c r="E24" i="2"/>
  <c r="H33" i="5"/>
  <c r="C39" i="5"/>
  <c r="K25" i="2"/>
  <c r="I26" i="2"/>
  <c r="D40" i="5" s="1"/>
  <c r="K26" i="2"/>
  <c r="I27" i="2"/>
  <c r="C41" i="5"/>
  <c r="K27" i="2"/>
  <c r="I28" i="2"/>
  <c r="C42" i="5" s="1"/>
  <c r="K28" i="2"/>
  <c r="I29" i="2"/>
  <c r="C43" i="5"/>
  <c r="K29" i="2"/>
  <c r="I30" i="2"/>
  <c r="B44" i="5" s="1"/>
  <c r="I44" i="5" s="1"/>
  <c r="K30" i="2"/>
  <c r="D43" i="4" s="1"/>
  <c r="I31" i="2"/>
  <c r="C48" i="5"/>
  <c r="K31" i="2"/>
  <c r="I32" i="2"/>
  <c r="K32" i="2"/>
  <c r="H6" i="5"/>
  <c r="F33" i="4"/>
  <c r="B49" i="4"/>
  <c r="D50" i="4"/>
  <c r="I49" i="4"/>
  <c r="B50" i="5"/>
  <c r="A50" i="5"/>
  <c r="D31" i="5"/>
  <c r="D51" i="5"/>
  <c r="B51" i="5"/>
  <c r="B50" i="4"/>
  <c r="F50" i="4"/>
  <c r="J50" i="4" s="1"/>
  <c r="D41" i="5"/>
  <c r="B39" i="5"/>
  <c r="I39" i="5" s="1"/>
  <c r="D42" i="4"/>
  <c r="I18" i="6"/>
  <c r="B13" i="4"/>
  <c r="B12" i="5"/>
  <c r="B14" i="5"/>
  <c r="D4" i="5"/>
  <c r="C50" i="4"/>
  <c r="C50" i="5"/>
  <c r="A49" i="4"/>
  <c r="F49" i="4"/>
  <c r="J49" i="4" s="1"/>
  <c r="A27" i="5"/>
  <c r="B13" i="5"/>
  <c r="C13" i="5"/>
  <c r="B22" i="4"/>
  <c r="D12" i="5"/>
  <c r="D14" i="4"/>
  <c r="B48" i="5"/>
  <c r="A47" i="4"/>
  <c r="A48" i="5"/>
  <c r="C47" i="4"/>
  <c r="B42" i="4"/>
  <c r="I47" i="4"/>
  <c r="D43" i="5"/>
  <c r="B41" i="5"/>
  <c r="A48" i="4"/>
  <c r="D48" i="5"/>
  <c r="C27" i="5"/>
  <c r="B25" i="5"/>
  <c r="C14" i="4"/>
  <c r="D22" i="5"/>
  <c r="C49" i="4"/>
  <c r="D14" i="5"/>
  <c r="C51" i="5"/>
  <c r="D47" i="4"/>
  <c r="B47" i="4"/>
  <c r="F47" i="4" s="1"/>
  <c r="J47" i="4" s="1"/>
  <c r="C16" i="5"/>
  <c r="I14" i="5"/>
  <c r="I12" i="5"/>
  <c r="F21" i="4"/>
  <c r="B14" i="4"/>
  <c r="I14" i="4"/>
  <c r="J14" i="4"/>
  <c r="D27" i="5"/>
  <c r="C23" i="5"/>
  <c r="F13" i="4"/>
  <c r="J13" i="4"/>
  <c r="D13" i="4"/>
  <c r="D22" i="4"/>
  <c r="D13" i="5"/>
  <c r="F22" i="4"/>
  <c r="J22" i="4"/>
  <c r="B27" i="5"/>
  <c r="I27" i="5"/>
  <c r="I13" i="5"/>
  <c r="C22" i="4"/>
  <c r="B24" i="5"/>
  <c r="C26" i="5"/>
  <c r="C12" i="5"/>
  <c r="I51" i="5"/>
  <c r="I41" i="5"/>
  <c r="F15" i="4"/>
  <c r="I25" i="5"/>
  <c r="D7" i="5"/>
  <c r="D51" i="4"/>
  <c r="D52" i="5"/>
  <c r="C43" i="4"/>
  <c r="C40" i="5"/>
  <c r="B43" i="4"/>
  <c r="F43" i="4"/>
  <c r="J43" i="4" s="1"/>
  <c r="D25" i="5"/>
  <c r="B40" i="5"/>
  <c r="I40" i="5" s="1"/>
  <c r="B38" i="4"/>
  <c r="F38" i="4" s="1"/>
  <c r="B43" i="5"/>
  <c r="B52" i="5"/>
  <c r="I52" i="5" s="1"/>
  <c r="I16" i="5"/>
  <c r="C51" i="4"/>
  <c r="A51" i="4"/>
  <c r="D39" i="5"/>
  <c r="I50" i="5" l="1"/>
  <c r="C38" i="4"/>
  <c r="J38" i="4"/>
  <c r="D38" i="4"/>
  <c r="C12" i="4"/>
  <c r="D15" i="4"/>
  <c r="C49" i="5"/>
  <c r="I43" i="5"/>
  <c r="F12" i="4"/>
  <c r="D23" i="5"/>
  <c r="I17" i="5"/>
  <c r="I23" i="5"/>
  <c r="C22" i="5"/>
  <c r="D17" i="5"/>
  <c r="A21" i="5"/>
  <c r="C15" i="4"/>
  <c r="C21" i="5"/>
  <c r="B48" i="4"/>
  <c r="F48" i="4" s="1"/>
  <c r="J48" i="4" s="1"/>
  <c r="C44" i="5"/>
  <c r="J12" i="4"/>
  <c r="B17" i="5"/>
  <c r="I21" i="5"/>
  <c r="B23" i="5"/>
  <c r="C15" i="5"/>
  <c r="D16" i="5"/>
  <c r="D24" i="5"/>
  <c r="D26" i="5"/>
  <c r="B42" i="5"/>
  <c r="I42" i="5" s="1"/>
  <c r="B22" i="5"/>
  <c r="I48" i="4"/>
  <c r="C48" i="4"/>
  <c r="I26" i="5"/>
  <c r="D21" i="4"/>
  <c r="D49" i="5"/>
  <c r="D44" i="5"/>
  <c r="D15" i="5"/>
  <c r="D48" i="4"/>
  <c r="J15" i="4"/>
  <c r="B15" i="5"/>
  <c r="I48" i="5"/>
  <c r="I24" i="5"/>
  <c r="D21" i="5"/>
  <c r="A23" i="5"/>
  <c r="J21" i="4"/>
  <c r="A26" i="5"/>
  <c r="C21" i="4"/>
  <c r="I22" i="5"/>
  <c r="A21" i="4"/>
  <c r="B49" i="5"/>
  <c r="I49" i="5" s="1"/>
  <c r="A49" i="5"/>
  <c r="C25" i="5"/>
  <c r="D5" i="4"/>
  <c r="B15" i="4"/>
  <c r="D42" i="5"/>
  <c r="D49" i="4"/>
</calcChain>
</file>

<file path=xl/sharedStrings.xml><?xml version="1.0" encoding="utf-8"?>
<sst xmlns="http://schemas.openxmlformats.org/spreadsheetml/2006/main" count="303" uniqueCount="135">
  <si>
    <t>Emission Year:</t>
  </si>
  <si>
    <t>Facility Name:</t>
  </si>
  <si>
    <t>12)  Maximum Hourly Design Rate</t>
  </si>
  <si>
    <t>Per Hour</t>
  </si>
  <si>
    <t>POTENTIAL EMISSIONS</t>
  </si>
  <si>
    <t>Air Pollutant</t>
  </si>
  <si>
    <t>Emission Factor</t>
  </si>
  <si>
    <t>Emission Factor Units</t>
  </si>
  <si>
    <t>Source of Emission Factor</t>
  </si>
  <si>
    <t>Ash or Sulfur %</t>
  </si>
  <si>
    <t>Potential Hourly Uncontrolled Emissions (lb/hr)</t>
  </si>
  <si>
    <t>Combined Control Efficiency</t>
  </si>
  <si>
    <t>Transfer Efficiency</t>
  </si>
  <si>
    <t>Potential Hourly Controlled Emissions (lb/hr)</t>
  </si>
  <si>
    <t>Potential Annual Emission (ton/yr)</t>
  </si>
  <si>
    <t>PM-2.5</t>
  </si>
  <si>
    <t>PM-10</t>
  </si>
  <si>
    <t>SO2</t>
  </si>
  <si>
    <t>NOx</t>
  </si>
  <si>
    <t>VOC</t>
  </si>
  <si>
    <t>CO</t>
  </si>
  <si>
    <t>Lead</t>
  </si>
  <si>
    <t>Ammonia</t>
  </si>
  <si>
    <t>POTENTIAL EMISSIONS - Individual HAPs and additional regulated air pollutants - list the name in Column 14</t>
  </si>
  <si>
    <t>Source of E.F.</t>
  </si>
  <si>
    <t>Actual Emissions (Tons/Yr)</t>
  </si>
  <si>
    <t>Permit Limits</t>
  </si>
  <si>
    <t>lb/hr</t>
  </si>
  <si>
    <t>ton/yr</t>
  </si>
  <si>
    <t>PM10</t>
  </si>
  <si>
    <t>Sulfur Dioxides (SO2)</t>
  </si>
  <si>
    <t>Volatile Organic Compounds (VOC)</t>
  </si>
  <si>
    <t>Carbon Monoxide (CO)</t>
  </si>
  <si>
    <t>Lead (Pb)</t>
  </si>
  <si>
    <t>Single Hazardous Air Pollutant (HAP)</t>
  </si>
  <si>
    <t>Total Hazardous Air Pollutant (HAP)</t>
  </si>
  <si>
    <t>Nitrogen Oxides (NOx)</t>
  </si>
  <si>
    <t>Hours of Operation Limit</t>
  </si>
  <si>
    <t>Hours/Yr</t>
  </si>
  <si>
    <r>
      <t xml:space="preserve">Operating Limits (found in the section titled Operating Limits) - </t>
    </r>
    <r>
      <rPr>
        <b/>
        <sz val="10"/>
        <color indexed="48"/>
        <rFont val="Arial"/>
        <family val="2"/>
      </rPr>
      <t>Leave Blank if Not Applicable</t>
    </r>
  </si>
  <si>
    <r>
      <t xml:space="preserve">Emission Limits (found in the section titled Emission Limits) - </t>
    </r>
    <r>
      <rPr>
        <b/>
        <sz val="10"/>
        <color indexed="48"/>
        <rFont val="Arial"/>
        <family val="2"/>
      </rPr>
      <t>Leave Blank if Not Applicable</t>
    </r>
  </si>
  <si>
    <t>Note: If you have an hrs/day limit multipy by 365 to get hrs/yr</t>
  </si>
  <si>
    <t>Permit Number (s)</t>
  </si>
  <si>
    <t>PM2.5</t>
  </si>
  <si>
    <t>4)    SCC Number</t>
  </si>
  <si>
    <t>5)    Description of the Process</t>
  </si>
  <si>
    <t>9)    Raw Material - OR Fuels Used</t>
  </si>
  <si>
    <t>Maximum Hourly Usage Rate</t>
  </si>
  <si>
    <t>SCC No.</t>
  </si>
  <si>
    <t>Process</t>
  </si>
  <si>
    <t>Description</t>
  </si>
  <si>
    <t>Fuel</t>
  </si>
  <si>
    <t>Units</t>
  </si>
  <si>
    <t>PM 2.5</t>
  </si>
  <si>
    <t>Source</t>
  </si>
  <si>
    <t>PM 10</t>
  </si>
  <si>
    <t xml:space="preserve">NOx </t>
  </si>
  <si>
    <t xml:space="preserve">VOC </t>
  </si>
  <si>
    <t>SCC #</t>
  </si>
  <si>
    <t>Diesel Fuel Combustion &lt;600 bhp</t>
  </si>
  <si>
    <t>Diesel Fuel</t>
  </si>
  <si>
    <t>lb/MMBtu</t>
  </si>
  <si>
    <t>WebFIRE</t>
  </si>
  <si>
    <t xml:space="preserve">Diesel Fuel Combustion &gt;600bhp </t>
  </si>
  <si>
    <t>DNR Memo</t>
  </si>
  <si>
    <t>Pollutant</t>
  </si>
  <si>
    <t>EF Units</t>
  </si>
  <si>
    <t>MMBtu</t>
  </si>
  <si>
    <t>Max Hourly Design Rate</t>
  </si>
  <si>
    <t>%</t>
  </si>
  <si>
    <t>Percent Sulfur Content Limit</t>
  </si>
  <si>
    <t>gallons</t>
  </si>
  <si>
    <t>1000 gallons</t>
  </si>
  <si>
    <t>1 gal = 0.001 1000 gal</t>
  </si>
  <si>
    <t>Natural Gas:</t>
  </si>
  <si>
    <t>1 gal = 0.140 MMBtu</t>
  </si>
  <si>
    <t xml:space="preserve"> </t>
  </si>
  <si>
    <t>Please fill in the yellow boxes</t>
  </si>
  <si>
    <t>Conversion Table</t>
  </si>
  <si>
    <t>Diesel Fuel:</t>
  </si>
  <si>
    <t>All Fuels:</t>
  </si>
  <si>
    <t>Formaldehyde</t>
  </si>
  <si>
    <t>AP-42 Table 3.3-1</t>
  </si>
  <si>
    <t>AP-42 Table 3.4-1</t>
  </si>
  <si>
    <t>Benzene</t>
  </si>
  <si>
    <t>Toluene</t>
  </si>
  <si>
    <t>Dual Fuel Combustion</t>
  </si>
  <si>
    <t>Dual Fuel (95% Natural Gas, 5% Diesel Fuel)</t>
  </si>
  <si>
    <t xml:space="preserve">Dual Fuel Combustion </t>
  </si>
  <si>
    <t>AP-42 Table 3.3-2</t>
  </si>
  <si>
    <t>% Sulfur in Fuel Oil:</t>
  </si>
  <si>
    <t>Form INV-3 EMISSION UNIT DESCRIPTION - POTENTIAL EMISSIONS</t>
  </si>
  <si>
    <t>ACTUAL EMISSIONS</t>
  </si>
  <si>
    <t>Note: Dual Fuel Generators will need to complete an INV-3 form for Diesel Fuel Combustion and Dual Fuel Combustion</t>
  </si>
  <si>
    <t>Note: Dual Fuel Generators will need to complete an INV-4 form for Diesel Fuel Combustion and Dual Fuel Combustion</t>
  </si>
  <si>
    <t>Natural Gas Usage Limit</t>
  </si>
  <si>
    <t>Diesel Fuel Usage Limit</t>
  </si>
  <si>
    <t>Gallons/Yr</t>
  </si>
  <si>
    <t>Cubic Ft/Yr</t>
  </si>
  <si>
    <t>Annual Fuel Usage Limit</t>
  </si>
  <si>
    <t>MMBtu/Yr</t>
  </si>
  <si>
    <t>MMBtu/yr</t>
  </si>
  <si>
    <t>Diesel Combustion:</t>
  </si>
  <si>
    <t>Dual Fuel Combustion:</t>
  </si>
  <si>
    <t>=</t>
  </si>
  <si>
    <t>Limits Used to Calculate Potential Emissions:</t>
  </si>
  <si>
    <t xml:space="preserve">    95% Natural Gas 5% Diesel</t>
  </si>
  <si>
    <t>Naphthalene</t>
  </si>
  <si>
    <t>AP-42 Table 3.4-4</t>
  </si>
  <si>
    <t>Xylene</t>
  </si>
  <si>
    <t>AP-42 Table 3.4-3</t>
  </si>
  <si>
    <t>Note: Applicable pollutants: PM2.5, VOC, CO, Benzene, Formaldehyde, Toluene, Naphthalene and Xylene (these emission factors are higher for dual fuel combustion when compared to diesel fuel combustion).</t>
  </si>
  <si>
    <t>Acetaldehyde</t>
  </si>
  <si>
    <t>Acrolein</t>
  </si>
  <si>
    <t>Note: Applicable pollutants: PM10, SO2, Nox, Acetaldehyde and Acrolein (these emission factors are higher for internal diesel combustion when compared to dual fuel combustion).</t>
  </si>
  <si>
    <r>
      <t xml:space="preserve">Process - </t>
    </r>
    <r>
      <rPr>
        <b/>
        <sz val="8"/>
        <rFont val="Times New Roman"/>
        <family val="1"/>
      </rPr>
      <t>(Drop Down Menu)</t>
    </r>
  </si>
  <si>
    <t>If your facility has a facility-wide tons/yr limit, to avoid over-estimating facility-wide potential emissions be sure to only enter the limit on one INV-3 Form (tons/yr column).</t>
  </si>
  <si>
    <t>AP-42 Table 3.4-1 &amp; footnote f</t>
  </si>
  <si>
    <t>MMBtu/hr</t>
  </si>
  <si>
    <t>Cubic Ft/yr</t>
  </si>
  <si>
    <t>Gallons/yr</t>
  </si>
  <si>
    <t>Emission Unit Fuel Usages:</t>
  </si>
  <si>
    <t>Note:  5% of the diesel usage will be applied to dual fuel combustion, 95% to diesel fuel combustion. If no natural gas was used in the unit, 100% of the diesel usage will be applied to diesel fuel combustion.</t>
  </si>
  <si>
    <t>MMBtu/Hr</t>
  </si>
  <si>
    <t>Please Note: IAC rule 23.3(3)"b" limits sulfur content in #1 and #2 fuel oil to 0.5%.</t>
  </si>
  <si>
    <t>Diesel Fuel Combustion &gt; 600 bhp</t>
  </si>
  <si>
    <t>Diesel Fuel Combustion ≤ 600 bhp</t>
  </si>
  <si>
    <t>Form INV-4 PROCESS DESCRIPTION - ACTUAL EMISSIONS</t>
  </si>
  <si>
    <t>7)    SCC Number</t>
  </si>
  <si>
    <t>8)    Description of Process</t>
  </si>
  <si>
    <t>12)    Raw Material</t>
  </si>
  <si>
    <t>9)    Annual Throughput</t>
  </si>
  <si>
    <t>ACTUAL EMISSIONS - HAPs and additional regulated air pollutants - list the name in Column 25</t>
  </si>
  <si>
    <t>Updated: 9-1-20</t>
  </si>
  <si>
    <t>10) Unit of Measure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</si>
</sst>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000"/>
    <numFmt numFmtId="166" formatCode="0.00000"/>
    <numFmt numFmtId="167" formatCode="0.000000"/>
    <numFmt numFmtId="168" formatCode="0.0000000"/>
  </numFmts>
  <fonts count="32" x14ac:knownFonts="1">
    <font>
      <sz val="10"/>
      <name val="Arial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7"/>
      <color indexed="12"/>
      <name val="Times New Roman"/>
      <family val="1"/>
    </font>
    <font>
      <sz val="7"/>
      <name val="Arial"/>
      <family val="2"/>
    </font>
    <font>
      <sz val="7"/>
      <color indexed="12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9"/>
      <color rgb="FF0000FF"/>
      <name val="Arial"/>
      <family val="2"/>
    </font>
    <font>
      <i/>
      <sz val="9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8" fillId="0" borderId="2" xfId="0" applyFont="1" applyBorder="1" applyAlignment="1"/>
    <xf numFmtId="2" fontId="1" fillId="0" borderId="2" xfId="0" applyNumberFormat="1" applyFont="1" applyBorder="1" applyAlignment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0" fillId="0" borderId="1" xfId="0" applyBorder="1" applyAlignment="1" applyProtection="1">
      <alignment horizontal="center"/>
    </xf>
    <xf numFmtId="0" fontId="9" fillId="0" borderId="0" xfId="0" applyFont="1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wrapText="1"/>
    </xf>
    <xf numFmtId="0" fontId="0" fillId="0" borderId="0" xfId="0" applyFill="1" applyProtection="1"/>
    <xf numFmtId="0" fontId="4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14" fillId="0" borderId="0" xfId="0" applyFont="1" applyProtection="1"/>
    <xf numFmtId="0" fontId="12" fillId="0" borderId="1" xfId="0" applyFont="1" applyBorder="1" applyAlignment="1" applyProtection="1">
      <alignment horizontal="center"/>
    </xf>
    <xf numFmtId="0" fontId="14" fillId="0" borderId="0" xfId="0" applyFont="1" applyBorder="1" applyProtection="1"/>
    <xf numFmtId="0" fontId="14" fillId="0" borderId="0" xfId="0" applyFont="1" applyBorder="1" applyAlignment="1" applyProtection="1">
      <alignment horizontal="center"/>
    </xf>
    <xf numFmtId="0" fontId="4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7" fillId="0" borderId="1" xfId="0" applyFont="1" applyBorder="1"/>
    <xf numFmtId="0" fontId="0" fillId="0" borderId="0" xfId="0" applyBorder="1"/>
    <xf numFmtId="2" fontId="17" fillId="0" borderId="1" xfId="0" applyNumberFormat="1" applyFont="1" applyBorder="1" applyAlignment="1">
      <alignment horizontal="center"/>
    </xf>
    <xf numFmtId="0" fontId="4" fillId="0" borderId="1" xfId="0" applyFont="1" applyBorder="1" applyProtection="1"/>
    <xf numFmtId="0" fontId="20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Protection="1"/>
    <xf numFmtId="2" fontId="17" fillId="0" borderId="1" xfId="0" applyNumberFormat="1" applyFont="1" applyBorder="1"/>
    <xf numFmtId="0" fontId="0" fillId="0" borderId="0" xfId="0" applyFill="1" applyBorder="1" applyProtection="1"/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Protection="1"/>
    <xf numFmtId="0" fontId="12" fillId="0" borderId="0" xfId="0" applyFont="1" applyProtection="1"/>
    <xf numFmtId="0" fontId="11" fillId="0" borderId="0" xfId="0" applyFont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5" fillId="0" borderId="0" xfId="0" applyFont="1" applyProtection="1"/>
    <xf numFmtId="0" fontId="8" fillId="0" borderId="1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/>
    <xf numFmtId="0" fontId="17" fillId="0" borderId="1" xfId="0" applyNumberFormat="1" applyFont="1" applyFill="1" applyBorder="1" applyAlignment="1">
      <alignment horizontal="center"/>
    </xf>
    <xf numFmtId="0" fontId="17" fillId="2" borderId="1" xfId="0" applyNumberFormat="1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left"/>
    </xf>
    <xf numFmtId="0" fontId="21" fillId="3" borderId="1" xfId="0" applyFont="1" applyFill="1" applyBorder="1" applyAlignment="1" applyProtection="1"/>
    <xf numFmtId="0" fontId="0" fillId="0" borderId="0" xfId="0" applyBorder="1" applyAlignment="1" applyProtection="1"/>
    <xf numFmtId="0" fontId="20" fillId="0" borderId="1" xfId="0" applyFont="1" applyFill="1" applyBorder="1" applyAlignment="1" applyProtection="1">
      <alignment horizontal="center"/>
    </xf>
    <xf numFmtId="0" fontId="12" fillId="0" borderId="0" xfId="0" applyFont="1" applyAlignment="1" applyProtection="1">
      <alignment horizontal="left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12" fillId="0" borderId="0" xfId="0" applyFont="1" applyFill="1" applyAlignment="1" applyProtection="1">
      <alignment horizontal="left"/>
    </xf>
    <xf numFmtId="1" fontId="0" fillId="0" borderId="0" xfId="0" applyNumberFormat="1" applyProtection="1"/>
    <xf numFmtId="164" fontId="12" fillId="0" borderId="1" xfId="0" applyNumberFormat="1" applyFont="1" applyBorder="1" applyAlignment="1" applyProtection="1">
      <alignment horizontal="center"/>
    </xf>
    <xf numFmtId="0" fontId="22" fillId="0" borderId="0" xfId="0" applyFont="1" applyProtection="1"/>
    <xf numFmtId="0" fontId="4" fillId="0" borderId="0" xfId="0" applyFont="1" applyFill="1" applyBorder="1" applyProtection="1"/>
    <xf numFmtId="0" fontId="11" fillId="0" borderId="4" xfId="0" applyFont="1" applyBorder="1" applyAlignment="1" applyProtection="1"/>
    <xf numFmtId="0" fontId="23" fillId="0" borderId="1" xfId="0" applyFont="1" applyBorder="1" applyAlignment="1" applyProtection="1">
      <alignment horizontal="center"/>
    </xf>
    <xf numFmtId="0" fontId="23" fillId="0" borderId="1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24" fillId="0" borderId="1" xfId="0" applyFont="1" applyBorder="1" applyAlignment="1">
      <alignment horizontal="center"/>
    </xf>
    <xf numFmtId="167" fontId="0" fillId="0" borderId="0" xfId="0" applyNumberFormat="1" applyAlignment="1" applyProtection="1">
      <alignment horizontal="center"/>
    </xf>
    <xf numFmtId="1" fontId="13" fillId="0" borderId="0" xfId="0" applyNumberFormat="1" applyFont="1" applyAlignment="1" applyProtection="1">
      <alignment horizontal="center"/>
    </xf>
    <xf numFmtId="168" fontId="0" fillId="0" borderId="0" xfId="0" applyNumberFormat="1" applyAlignment="1" applyProtection="1">
      <alignment horizontal="center"/>
    </xf>
    <xf numFmtId="168" fontId="20" fillId="0" borderId="1" xfId="0" applyNumberFormat="1" applyFont="1" applyBorder="1" applyAlignment="1" applyProtection="1">
      <alignment horizontal="center"/>
    </xf>
    <xf numFmtId="167" fontId="20" fillId="0" borderId="1" xfId="0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0" fontId="25" fillId="0" borderId="0" xfId="0" applyFont="1"/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0" fillId="0" borderId="1" xfId="0" applyBorder="1"/>
    <xf numFmtId="0" fontId="23" fillId="0" borderId="0" xfId="0" applyFont="1" applyFill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/>
    </xf>
    <xf numFmtId="0" fontId="23" fillId="0" borderId="5" xfId="0" applyFont="1" applyBorder="1" applyAlignment="1" applyProtection="1">
      <alignment horizontal="center"/>
    </xf>
    <xf numFmtId="0" fontId="20" fillId="0" borderId="5" xfId="0" applyFont="1" applyBorder="1" applyAlignment="1" applyProtection="1">
      <alignment horizontal="center"/>
    </xf>
    <xf numFmtId="0" fontId="23" fillId="0" borderId="3" xfId="0" applyFont="1" applyBorder="1" applyAlignment="1" applyProtection="1">
      <alignment horizontal="center"/>
    </xf>
    <xf numFmtId="168" fontId="20" fillId="0" borderId="3" xfId="0" applyNumberFormat="1" applyFont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left"/>
    </xf>
    <xf numFmtId="0" fontId="0" fillId="0" borderId="0" xfId="0" applyNumberFormat="1" applyBorder="1" applyAlignment="1"/>
    <xf numFmtId="2" fontId="20" fillId="5" borderId="1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0" fontId="7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1" fillId="0" borderId="0" xfId="0" applyFont="1" applyAlignment="1" applyProtection="1">
      <alignment horizontal="right"/>
    </xf>
    <xf numFmtId="0" fontId="21" fillId="0" borderId="0" xfId="0" applyFont="1" applyFill="1" applyBorder="1" applyAlignment="1" applyProtection="1">
      <alignment horizontal="right"/>
    </xf>
    <xf numFmtId="0" fontId="22" fillId="0" borderId="6" xfId="0" applyFont="1" applyFill="1" applyBorder="1" applyAlignment="1" applyProtection="1">
      <alignment wrapText="1"/>
    </xf>
    <xf numFmtId="0" fontId="13" fillId="0" borderId="1" xfId="0" applyFont="1" applyBorder="1" applyAlignment="1" applyProtection="1">
      <alignment horizontal="center"/>
    </xf>
    <xf numFmtId="0" fontId="17" fillId="6" borderId="1" xfId="0" applyFont="1" applyFill="1" applyBorder="1"/>
    <xf numFmtId="0" fontId="21" fillId="0" borderId="0" xfId="0" applyFont="1" applyProtection="1"/>
    <xf numFmtId="4" fontId="0" fillId="5" borderId="1" xfId="0" applyNumberFormat="1" applyFill="1" applyBorder="1" applyAlignment="1" applyProtection="1">
      <alignment horizontal="center"/>
      <protection locked="0"/>
    </xf>
    <xf numFmtId="4" fontId="20" fillId="0" borderId="1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right"/>
    </xf>
    <xf numFmtId="0" fontId="17" fillId="7" borderId="1" xfId="0" applyNumberFormat="1" applyFont="1" applyFill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4" fontId="20" fillId="5" borderId="1" xfId="0" applyNumberFormat="1" applyFont="1" applyFill="1" applyBorder="1" applyAlignment="1" applyProtection="1">
      <alignment horizontal="center"/>
      <protection locked="0"/>
    </xf>
    <xf numFmtId="0" fontId="31" fillId="0" borderId="0" xfId="0" applyFont="1"/>
    <xf numFmtId="0" fontId="5" fillId="0" borderId="4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0" fontId="11" fillId="0" borderId="8" xfId="0" applyFont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13" fillId="0" borderId="0" xfId="0" applyFont="1" applyAlignment="1" applyProtection="1">
      <alignment horizontal="left" wrapText="1"/>
    </xf>
    <xf numFmtId="0" fontId="6" fillId="0" borderId="8" xfId="0" applyFont="1" applyBorder="1" applyAlignment="1">
      <alignment horizontal="left"/>
    </xf>
    <xf numFmtId="0" fontId="8" fillId="0" borderId="11" xfId="0" applyFont="1" applyBorder="1" applyAlignment="1"/>
    <xf numFmtId="0" fontId="8" fillId="0" borderId="12" xfId="0" applyFont="1" applyBorder="1" applyAlignment="1"/>
    <xf numFmtId="0" fontId="8" fillId="0" borderId="9" xfId="0" applyFont="1" applyBorder="1" applyAlignment="1"/>
    <xf numFmtId="165" fontId="15" fillId="0" borderId="11" xfId="0" applyNumberFormat="1" applyFont="1" applyBorder="1" applyAlignment="1">
      <alignment horizontal="center"/>
    </xf>
    <xf numFmtId="165" fontId="16" fillId="0" borderId="9" xfId="0" applyNumberFormat="1" applyFont="1" applyBorder="1" applyAlignment="1"/>
    <xf numFmtId="0" fontId="15" fillId="0" borderId="11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5" fillId="0" borderId="9" xfId="0" applyFont="1" applyBorder="1" applyAlignment="1">
      <alignment horizontal="left"/>
    </xf>
    <xf numFmtId="0" fontId="8" fillId="0" borderId="4" xfId="0" applyFont="1" applyBorder="1" applyAlignment="1"/>
    <xf numFmtId="0" fontId="8" fillId="0" borderId="2" xfId="0" applyFont="1" applyBorder="1" applyAlignment="1"/>
    <xf numFmtId="0" fontId="8" fillId="0" borderId="7" xfId="0" applyFont="1" applyBorder="1" applyAlignment="1"/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0" xfId="0" applyFont="1" applyBorder="1" applyAlignment="1"/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6" fillId="0" borderId="0" xfId="0" applyFont="1" applyBorder="1" applyAlignment="1"/>
    <xf numFmtId="0" fontId="27" fillId="0" borderId="0" xfId="0" applyFont="1" applyBorder="1" applyAlignment="1"/>
    <xf numFmtId="2" fontId="1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15" fillId="0" borderId="1" xfId="0" applyNumberFormat="1" applyFont="1" applyBorder="1" applyAlignment="1">
      <alignment horizontal="left"/>
    </xf>
    <xf numFmtId="0" fontId="8" fillId="0" borderId="13" xfId="0" applyFont="1" applyBorder="1" applyAlignment="1"/>
    <xf numFmtId="0" fontId="8" fillId="0" borderId="8" xfId="0" applyFont="1" applyBorder="1" applyAlignment="1"/>
    <xf numFmtId="2" fontId="15" fillId="0" borderId="4" xfId="0" applyNumberFormat="1" applyFon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0" fontId="15" fillId="0" borderId="4" xfId="0" applyFont="1" applyBorder="1" applyAlignment="1"/>
    <xf numFmtId="0" fontId="16" fillId="0" borderId="2" xfId="0" applyFont="1" applyBorder="1" applyAlignment="1"/>
    <xf numFmtId="0" fontId="16" fillId="0" borderId="7" xfId="0" applyFont="1" applyBorder="1" applyAlignment="1"/>
    <xf numFmtId="0" fontId="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0" fillId="0" borderId="2" xfId="0" applyBorder="1" applyAlignment="1"/>
    <xf numFmtId="0" fontId="0" fillId="0" borderId="7" xfId="0" applyBorder="1" applyAlignment="1"/>
    <xf numFmtId="0" fontId="15" fillId="0" borderId="1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Normal" xfId="0" builtinId="0"/>
  </cellStyles>
  <dxfs count="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99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topLeftCell="B1" zoomScale="115" workbookViewId="0">
      <selection activeCell="B1" sqref="B1"/>
    </sheetView>
  </sheetViews>
  <sheetFormatPr defaultRowHeight="12.75" x14ac:dyDescent="0.2"/>
  <cols>
    <col min="1" max="1" width="0.140625" style="14" hidden="1" customWidth="1"/>
    <col min="2" max="2" width="31" style="14" customWidth="1"/>
    <col min="3" max="3" width="13" style="14" customWidth="1"/>
    <col min="4" max="4" width="10.42578125" style="14" customWidth="1"/>
    <col min="5" max="5" width="9.42578125" style="14" customWidth="1"/>
    <col min="6" max="6" width="9.140625" style="14" customWidth="1"/>
    <col min="7" max="7" width="9.5703125" style="14" customWidth="1"/>
    <col min="8" max="8" width="10.85546875" style="14" bestFit="1" customWidth="1"/>
    <col min="9" max="9" width="9.28515625" style="14" customWidth="1"/>
    <col min="10" max="10" width="12.85546875" style="14" customWidth="1"/>
    <col min="11" max="11" width="4.140625" style="14" customWidth="1"/>
    <col min="12" max="12" width="11.28515625" style="14" customWidth="1"/>
    <col min="13" max="13" width="7.85546875" style="14" customWidth="1"/>
    <col min="14" max="14" width="11" style="14" bestFit="1" customWidth="1"/>
    <col min="15" max="15" width="9.140625" style="18"/>
    <col min="16" max="16" width="9.7109375" style="18" customWidth="1"/>
    <col min="17" max="16384" width="9.140625" style="14"/>
  </cols>
  <sheetData>
    <row r="1" spans="1:16" ht="15.75" x14ac:dyDescent="0.25">
      <c r="B1" s="13" t="s">
        <v>86</v>
      </c>
      <c r="C1" s="13"/>
      <c r="D1" s="13"/>
      <c r="K1" s="127" t="s">
        <v>133</v>
      </c>
      <c r="L1" s="127"/>
    </row>
    <row r="2" spans="1:16" ht="14.25" customHeight="1" x14ac:dyDescent="0.25">
      <c r="B2" s="65" t="s">
        <v>77</v>
      </c>
      <c r="C2" s="66"/>
      <c r="D2" s="13"/>
    </row>
    <row r="3" spans="1:16" x14ac:dyDescent="0.2">
      <c r="B3" s="34" t="s">
        <v>1</v>
      </c>
      <c r="C3" s="131"/>
      <c r="D3" s="131"/>
      <c r="E3" s="132"/>
      <c r="F3" s="132"/>
      <c r="G3" s="132"/>
      <c r="H3" s="132"/>
      <c r="J3" s="79" t="s">
        <v>0</v>
      </c>
      <c r="K3" s="133"/>
      <c r="L3" s="134"/>
    </row>
    <row r="4" spans="1:16" x14ac:dyDescent="0.2">
      <c r="E4" s="40"/>
      <c r="F4" s="40"/>
      <c r="G4" s="40"/>
      <c r="H4" s="40"/>
      <c r="I4" s="40"/>
      <c r="J4" s="40"/>
      <c r="K4" s="20"/>
      <c r="L4" s="39"/>
      <c r="M4" s="40"/>
      <c r="N4" s="38"/>
    </row>
    <row r="5" spans="1:16" x14ac:dyDescent="0.2">
      <c r="B5" s="15" t="s">
        <v>121</v>
      </c>
      <c r="E5" s="40"/>
      <c r="F5" s="40"/>
      <c r="G5" s="40"/>
      <c r="H5" s="40"/>
      <c r="I5" s="40"/>
      <c r="J5" s="40"/>
      <c r="K5" s="20"/>
      <c r="L5" s="39"/>
      <c r="M5" s="40"/>
      <c r="N5" s="38"/>
    </row>
    <row r="6" spans="1:16" ht="12.75" customHeight="1" x14ac:dyDescent="0.2">
      <c r="B6" s="111" t="s">
        <v>79</v>
      </c>
      <c r="C6" s="117"/>
      <c r="D6" s="67" t="s">
        <v>120</v>
      </c>
      <c r="F6" s="130" t="s">
        <v>122</v>
      </c>
      <c r="G6" s="130"/>
      <c r="H6" s="130"/>
      <c r="I6" s="130"/>
      <c r="J6" s="130"/>
      <c r="K6" s="130"/>
      <c r="L6" s="130"/>
      <c r="M6" s="130"/>
      <c r="N6" s="38"/>
    </row>
    <row r="7" spans="1:16" x14ac:dyDescent="0.2">
      <c r="B7" s="112" t="s">
        <v>74</v>
      </c>
      <c r="C7" s="117"/>
      <c r="D7" s="67" t="s">
        <v>119</v>
      </c>
      <c r="E7" s="113"/>
      <c r="F7" s="130"/>
      <c r="G7" s="130"/>
      <c r="H7" s="130"/>
      <c r="I7" s="130"/>
      <c r="J7" s="130"/>
      <c r="K7" s="130"/>
      <c r="L7" s="130"/>
      <c r="M7" s="130"/>
      <c r="N7" s="38"/>
    </row>
    <row r="8" spans="1:16" x14ac:dyDescent="0.2">
      <c r="B8" s="41"/>
      <c r="C8" s="41"/>
      <c r="D8" s="41"/>
      <c r="E8" s="24"/>
      <c r="F8" s="24"/>
      <c r="G8" s="24"/>
      <c r="H8" s="24"/>
      <c r="I8" s="24"/>
      <c r="J8" s="24"/>
      <c r="K8" s="24"/>
      <c r="L8" s="24"/>
    </row>
    <row r="9" spans="1:16" s="59" customFormat="1" ht="26.25" customHeight="1" x14ac:dyDescent="0.2">
      <c r="B9" s="22" t="s">
        <v>115</v>
      </c>
      <c r="C9" s="22" t="s">
        <v>68</v>
      </c>
      <c r="D9" s="22" t="s">
        <v>52</v>
      </c>
      <c r="E9" s="22" t="str">
        <f>K3 &amp;  " Fuel Usage"</f>
        <v xml:space="preserve"> Fuel Usage</v>
      </c>
      <c r="F9" s="22" t="s">
        <v>52</v>
      </c>
      <c r="G9" s="60" t="s">
        <v>48</v>
      </c>
      <c r="H9" s="22" t="s">
        <v>65</v>
      </c>
      <c r="I9" s="22" t="s">
        <v>6</v>
      </c>
      <c r="J9" s="22" t="s">
        <v>52</v>
      </c>
      <c r="K9" s="129" t="s">
        <v>54</v>
      </c>
      <c r="L9" s="129"/>
    </row>
    <row r="10" spans="1:16" x14ac:dyDescent="0.2">
      <c r="A10" s="77"/>
      <c r="B10" s="35"/>
      <c r="C10" s="122"/>
      <c r="D10" s="67" t="s">
        <v>118</v>
      </c>
      <c r="E10" s="118">
        <f>IF(C7&gt;0,(C6*0.14-((C7*0.00105/0.95)-(C7*0.00105))),C6*0.14)</f>
        <v>0</v>
      </c>
      <c r="F10" s="44" t="s">
        <v>101</v>
      </c>
      <c r="G10" s="44" t="str">
        <f>IF(B10&gt;0,LOOKUP(B10,'Emission Factors'!A2:A4,'Emission Factors'!AF2:AF4)," ")</f>
        <v xml:space="preserve"> </v>
      </c>
      <c r="H10" s="80" t="s">
        <v>43</v>
      </c>
      <c r="I10" s="44" t="str">
        <f>IF(B10=0," ",IF(LOOKUP(B10,'Emission Factors'!A2:A4,'Emission Factors'!F2:F4)&gt;0,LOOKUP(B10,'Emission Factors'!A2:A4,'Emission Factors'!F2:F4)," "))</f>
        <v xml:space="preserve"> </v>
      </c>
      <c r="J10" s="44" t="str">
        <f>IF(B10=0," ",IF(LOOKUP(B10,'Emission Factors'!A2:A4,'Emission Factors'!F2:F4)&gt;0,LOOKUP($B$10,'Emission Factors'!$A$2:$A$5,'Emission Factors'!$E$2:$E$5)," "))</f>
        <v xml:space="preserve"> </v>
      </c>
      <c r="K10" s="128" t="str">
        <f>IF(B10=0," ",IF(LOOKUP(B10,'Emission Factors'!A2:A4,'Emission Factors'!F2:F4)&gt;0,LOOKUP($B$10,'Emission Factors'!$A$2:$A$4,'Emission Factors'!G2:G4)," "))</f>
        <v xml:space="preserve"> </v>
      </c>
      <c r="L10" s="128"/>
    </row>
    <row r="11" spans="1:16" s="26" customFormat="1" x14ac:dyDescent="0.2">
      <c r="B11" s="58" t="str">
        <f>IF(B10="Diesel Fuel Combustion &gt; 600 bhp","% Sulfur in Fuel Oil:"," ")</f>
        <v xml:space="preserve"> </v>
      </c>
      <c r="C11" s="69"/>
      <c r="H11" s="80" t="s">
        <v>29</v>
      </c>
      <c r="I11" s="44" t="str">
        <f>IF(B10=0," ",IF(LOOKUP(B10,'Emission Factors'!A2:A4,'Emission Factors'!H2:H4)&gt;0,LOOKUP(B10,'Emission Factors'!A2:A4,'Emission Factors'!H2:H4)," "))</f>
        <v xml:space="preserve"> </v>
      </c>
      <c r="J11" s="44" t="str">
        <f>IF(B10=0," ",IF(LOOKUP(B10,'Emission Factors'!A2:A4,'Emission Factors'!H2:H4)&gt;0,LOOKUP($B$10,'Emission Factors'!$A$2:$A$4,'Emission Factors'!$E$2:$E$4)," "))</f>
        <v xml:space="preserve"> </v>
      </c>
      <c r="K11" s="128" t="str">
        <f>IF(B10=0," ",IF(LOOKUP(B10,'Emission Factors'!A2:A4,'Emission Factors'!H2:H4)&gt;0,LOOKUP($B$10,'Emission Factors'!$A$2:$A$4,'Emission Factors'!I2:I4)," "))</f>
        <v xml:space="preserve"> </v>
      </c>
      <c r="L11" s="128"/>
      <c r="O11" s="27"/>
      <c r="P11" s="27"/>
    </row>
    <row r="12" spans="1:16" x14ac:dyDescent="0.2">
      <c r="A12" s="46" t="e">
        <f>LOOKUP(B10,'Emission Factors'!A2:A5, 'Emission Factors'!B2:B5)</f>
        <v>#N/A</v>
      </c>
      <c r="E12" s="45"/>
      <c r="F12" s="110"/>
      <c r="G12" s="45"/>
      <c r="H12" s="80" t="s">
        <v>17</v>
      </c>
      <c r="I12" s="44" t="str">
        <f>IF(B10=0," ",IF(LOOKUP(B10,'Emission Factors'!A2:A4,'Emission Factors'!J2:J4)&gt;0,LOOKUP(B10,'Emission Factors'!A2:A4,'Emission Factors'!J2:J4)," "))</f>
        <v xml:space="preserve"> </v>
      </c>
      <c r="J12" s="44" t="str">
        <f>IF(B10=0," ",IF(LOOKUP(B10,'Emission Factors'!A2:A4,'Emission Factors'!J2:J4)&gt;0,LOOKUP($B$10,'Emission Factors'!$A$2:$A$4,'Emission Factors'!$E$2:$E$4)," "))</f>
        <v xml:space="preserve"> </v>
      </c>
      <c r="K12" s="128" t="str">
        <f>IF(B10=0," ",IF(LOOKUP(B10,'Emission Factors'!A2:A4,'Emission Factors'!J2:J4)&gt;0,LOOKUP($B$10,'Emission Factors'!$A$2:$A$4,'Emission Factors'!K2:K4)," "))</f>
        <v xml:space="preserve"> </v>
      </c>
      <c r="L12" s="128"/>
      <c r="O12" s="19"/>
    </row>
    <row r="13" spans="1:16" s="24" customFormat="1" x14ac:dyDescent="0.2">
      <c r="A13" s="46" t="e">
        <f>LOOKUP(B10,'Emission Factors'!A2:A5, 'Emission Factors'!C2:C5)</f>
        <v>#N/A</v>
      </c>
      <c r="B13" s="119"/>
      <c r="G13" s="14"/>
      <c r="H13" s="80" t="s">
        <v>18</v>
      </c>
      <c r="I13" s="44" t="str">
        <f>IF(B10=0," ",IF(LOOKUP(B10,'Emission Factors'!A2:A4,'Emission Factors'!L2:L4)&gt;0,LOOKUP(B10,'Emission Factors'!A2:A4,'Emission Factors'!L2:L4)," "))</f>
        <v xml:space="preserve"> </v>
      </c>
      <c r="J13" s="44" t="str">
        <f>IF(B10=0," ",IF(LOOKUP(B10,'Emission Factors'!A2:A4,'Emission Factors'!L2:L4)&gt;0,LOOKUP($B$10,'Emission Factors'!$A$2:$A$4,'Emission Factors'!$E$2:$E$4)," "))</f>
        <v xml:space="preserve"> </v>
      </c>
      <c r="K13" s="128" t="str">
        <f>IF(B10=0," ",IF(LOOKUP(B10,'Emission Factors'!A2:A4,'Emission Factors'!L2:L4)&gt;0,LOOKUP($B$10,'Emission Factors'!$A$2:$A$4,'Emission Factors'!M2:M4)," "))</f>
        <v xml:space="preserve"> </v>
      </c>
      <c r="L13" s="128"/>
      <c r="O13" s="23"/>
      <c r="P13" s="23"/>
    </row>
    <row r="14" spans="1:16" s="24" customFormat="1" x14ac:dyDescent="0.2">
      <c r="B14" s="14"/>
      <c r="G14" s="14"/>
      <c r="H14" s="80" t="s">
        <v>19</v>
      </c>
      <c r="I14" s="44" t="str">
        <f>IF(B10=0," ",IF(LOOKUP(B10,'Emission Factors'!A2:A4,'Emission Factors'!N2:N4)&gt;0,LOOKUP(B10,'Emission Factors'!A2:A4,'Emission Factors'!N2:N4)," "))</f>
        <v xml:space="preserve"> </v>
      </c>
      <c r="J14" s="44" t="str">
        <f>IF(B10=0," ",IF(LOOKUP(B10,'Emission Factors'!A2:A4,'Emission Factors'!N2:N4)&gt;0,LOOKUP($B$10,'Emission Factors'!$A$2:$A$4,'Emission Factors'!$E$2:$E$4)," "))</f>
        <v xml:space="preserve"> </v>
      </c>
      <c r="K14" s="128" t="str">
        <f>IF(B10=0," ",IF(LOOKUP(B10,'Emission Factors'!A2:A4,'Emission Factors'!N2:N4)&gt;0,LOOKUP($B$10,'Emission Factors'!$A$2:$A$4,'Emission Factors'!O2:O4)," "))</f>
        <v xml:space="preserve"> </v>
      </c>
      <c r="L14" s="128"/>
      <c r="N14" s="23"/>
      <c r="O14" s="23"/>
    </row>
    <row r="15" spans="1:16" x14ac:dyDescent="0.2">
      <c r="A15" s="68"/>
      <c r="H15" s="80" t="s">
        <v>20</v>
      </c>
      <c r="I15" s="44" t="str">
        <f>IF(B10=0," ",IF(LOOKUP(B10,'Emission Factors'!A2:A4,'Emission Factors'!P2:P4)&gt;0,LOOKUP(B10,'Emission Factors'!A2:A4,'Emission Factors'!P2:P4)," "))</f>
        <v xml:space="preserve"> </v>
      </c>
      <c r="J15" s="44" t="str">
        <f>IF(B10=0," ",IF(LOOKUP(B10,'Emission Factors'!A2:A4,'Emission Factors'!P2:P4)&gt;0,LOOKUP($B$10,'Emission Factors'!$A$2:$A$4,'Emission Factors'!$E$2:$E$4)," "))</f>
        <v xml:space="preserve"> </v>
      </c>
      <c r="K15" s="128" t="str">
        <f>IF(B10=0," ",IF(LOOKUP(B10,'Emission Factors'!A2:A4,'Emission Factors'!P2:P4)&gt;0,LOOKUP($B$10,'Emission Factors'!$A$2:$A$4,'Emission Factors'!Q2:Q4)," "))</f>
        <v xml:space="preserve"> </v>
      </c>
      <c r="L15" s="128"/>
      <c r="O15" s="14"/>
      <c r="P15" s="14"/>
    </row>
    <row r="16" spans="1:16" x14ac:dyDescent="0.2">
      <c r="A16" s="68"/>
      <c r="H16" s="80" t="s">
        <v>84</v>
      </c>
      <c r="I16" s="88" t="str">
        <f>IF(B10=0," ",IF(LOOKUP(B10,'Emission Factors'!A2:A4,'Emission Factors'!R2:R4)&gt;0,LOOKUP(B10,'Emission Factors'!A2:A4,'Emission Factors'!R2:R4)," "))</f>
        <v xml:space="preserve"> </v>
      </c>
      <c r="J16" s="44" t="str">
        <f>IF(B10=0," ",IF(LOOKUP(B10,'Emission Factors'!A2:A4,'Emission Factors'!R2:R4)&gt;0,LOOKUP($B$10,'Emission Factors'!$A$2:$A$4,'Emission Factors'!$E$2:$E$4)," "))</f>
        <v xml:space="preserve"> </v>
      </c>
      <c r="K16" s="128" t="str">
        <f>IF(B10=0," ",IF(LOOKUP(B10,'Emission Factors'!A2:A4,'Emission Factors'!R2:R4)&gt;0,LOOKUP($B$10,'Emission Factors'!$A$2:$A$4,'Emission Factors'!S2:S4)," "))</f>
        <v xml:space="preserve"> </v>
      </c>
      <c r="L16" s="128"/>
      <c r="O16" s="14"/>
      <c r="P16" s="14"/>
    </row>
    <row r="17" spans="1:16" ht="14.25" customHeight="1" x14ac:dyDescent="0.2">
      <c r="A17" s="68"/>
      <c r="D17" s="43"/>
      <c r="H17" s="102" t="s">
        <v>81</v>
      </c>
      <c r="I17" s="103" t="str">
        <f>IF(B10=0," ",IF(LOOKUP(B10,'Emission Factors'!A2:A4,'Emission Factors'!T2:T4)&gt;0,LOOKUP(B10,'Emission Factors'!A2:A4,'Emission Factors'!T2:T4)," "))</f>
        <v xml:space="preserve"> </v>
      </c>
      <c r="J17" s="99" t="str">
        <f>IF(B10=0," ",IF(LOOKUP(B10,'Emission Factors'!A2:A4,'Emission Factors'!T2:T4)&gt;0,LOOKUP($B$10,'Emission Factors'!$A$2:$A$4,'Emission Factors'!$E$2:$E$4)," "))</f>
        <v xml:space="preserve"> </v>
      </c>
      <c r="K17" s="126" t="str">
        <f>IF(B10=0," ",IF(LOOKUP(B10,'Emission Factors'!A2:A4,'Emission Factors'!T2:T4)&gt;0,LOOKUP($B$10,'Emission Factors'!$A$2:$A$4,'Emission Factors'!U2:U4)," "))</f>
        <v xml:space="preserve"> </v>
      </c>
      <c r="L17" s="126"/>
      <c r="O17" s="14"/>
      <c r="P17" s="14"/>
    </row>
    <row r="18" spans="1:16" x14ac:dyDescent="0.2">
      <c r="A18" s="68"/>
      <c r="B18" s="43"/>
      <c r="C18" s="43"/>
      <c r="H18" s="81" t="s">
        <v>85</v>
      </c>
      <c r="I18" s="44" t="str">
        <f>IF(B10=0," ",IF(LOOKUP(B10,'Emission Factors'!A2:A4,'Emission Factors'!V2:V4)&gt;0,LOOKUP(B10,'Emission Factors'!A2:A4,'Emission Factors'!V2:V4)," "))</f>
        <v xml:space="preserve"> </v>
      </c>
      <c r="J18" s="44" t="str">
        <f>IF(B10=0," ",IF(LOOKUP(B10,'Emission Factors'!A2:A4,'Emission Factors'!V2:V4)&gt;0,LOOKUP($B$10,'Emission Factors'!$A$2:$A$4,'Emission Factors'!$E$2:$E$4)," "))</f>
        <v xml:space="preserve"> </v>
      </c>
      <c r="K18" s="124" t="str">
        <f>IF(B10=0," ",IF(LOOKUP(B10,'Emission Factors'!A2:A4,'Emission Factors'!V2:V4)&gt;0,LOOKUP($B$10,'Emission Factors'!$A$2:$A$4,'Emission Factors'!U2:U4)," "))</f>
        <v xml:space="preserve"> </v>
      </c>
      <c r="L18" s="125"/>
    </row>
    <row r="19" spans="1:16" x14ac:dyDescent="0.2">
      <c r="A19" s="68"/>
      <c r="B19" s="43"/>
      <c r="C19" s="43"/>
      <c r="H19" s="81" t="s">
        <v>107</v>
      </c>
      <c r="I19" s="44" t="str">
        <f>IF(B10=0," ",IF(LOOKUP(B10,'Emission Factors'!A2:A4,'Emission Factors'!X2:X4)&gt;0,LOOKUP($B$10,'Emission Factors'!$A$2:$A$4,'Emission Factors'!X2:X4)," "))</f>
        <v xml:space="preserve"> </v>
      </c>
      <c r="J19" s="44" t="str">
        <f>IF(B10=0," ",IF(LOOKUP(B10,'Emission Factors'!A2:A4,'Emission Factors'!X2:X4)&gt;0,LOOKUP($B$10,'Emission Factors'!$A$2:$A$4,'Emission Factors'!$E$2:$E$4)," "))</f>
        <v xml:space="preserve"> </v>
      </c>
      <c r="K19" s="124" t="str">
        <f>IF(B10=0," ",IF(LOOKUP(B10,'Emission Factors'!A2:A4,'Emission Factors'!X2:X4)&gt;0,LOOKUP($B$10,'Emission Factors'!$A$2:$A$4,'Emission Factors'!Y2:Y4)," "))</f>
        <v xml:space="preserve"> </v>
      </c>
      <c r="L19" s="125"/>
    </row>
    <row r="20" spans="1:16" x14ac:dyDescent="0.2">
      <c r="A20" s="68"/>
      <c r="B20" s="43"/>
      <c r="C20" s="43"/>
      <c r="H20" s="81" t="s">
        <v>109</v>
      </c>
      <c r="I20" s="44" t="str">
        <f>IF(B10=0," ",IF(LOOKUP(B10,'Emission Factors'!A2:A4,'Emission Factors'!Z2:Z4)&gt;0,LOOKUP($B$10,'Emission Factors'!$A$2:$A$4,'Emission Factors'!Z2:Z4)," "))</f>
        <v xml:space="preserve"> </v>
      </c>
      <c r="J20" s="44" t="str">
        <f>IF(B10=0," ",IF(LOOKUP(B10,'Emission Factors'!A2:A4,'Emission Factors'!Z2:Z4)&gt;0,LOOKUP($B$10,'Emission Factors'!$A$2:$A$4,'Emission Factors'!$E$2:$E$4)," "))</f>
        <v xml:space="preserve"> </v>
      </c>
      <c r="K20" s="124" t="str">
        <f>IF(B10=0," ",IF(LOOKUP(B10,'Emission Factors'!A2:A4,'Emission Factors'!Z2:Z4)&gt;0,LOOKUP($B$10,'Emission Factors'!$A$2:$A$4,'Emission Factors'!AA2:AA4)," "))</f>
        <v xml:space="preserve"> </v>
      </c>
      <c r="L20" s="125"/>
    </row>
    <row r="21" spans="1:16" x14ac:dyDescent="0.2">
      <c r="A21" s="68"/>
      <c r="B21" s="43"/>
      <c r="C21" s="43"/>
      <c r="H21" s="81" t="s">
        <v>112</v>
      </c>
      <c r="I21" s="44" t="str">
        <f>IF(B10=0," ",IF(LOOKUP(B10,'Emission Factors'!A2:A4,'Emission Factors'!AB2:AB4)&gt;0,LOOKUP($B$10,'Emission Factors'!$A$2:$A$4,'Emission Factors'!AB2:AB4)," "))</f>
        <v xml:space="preserve"> </v>
      </c>
      <c r="J21" s="44" t="str">
        <f>IF(B10=0," ",IF(LOOKUP(B10,'Emission Factors'!A2:A4,'Emission Factors'!AB2:AB4)&gt;0,LOOKUP($B$10,'Emission Factors'!$A$2:$A$4,'Emission Factors'!$E$2:$E$4)," "))</f>
        <v xml:space="preserve"> </v>
      </c>
      <c r="K21" s="124" t="str">
        <f>IF(B10=0," ",IF(LOOKUP(B10,'Emission Factors'!A2:A4,'Emission Factors'!AB2:AB4)&gt;0,LOOKUP($B$10,'Emission Factors'!$A$2:$A$4,'Emission Factors'!AC2:AC4)," "))</f>
        <v xml:space="preserve"> </v>
      </c>
      <c r="L21" s="125"/>
    </row>
    <row r="22" spans="1:16" x14ac:dyDescent="0.2">
      <c r="A22" s="68"/>
      <c r="B22" s="116" t="s">
        <v>124</v>
      </c>
      <c r="C22" s="43"/>
      <c r="H22" s="81" t="s">
        <v>113</v>
      </c>
      <c r="I22" s="44" t="str">
        <f>IF(B10=0," ",IF(LOOKUP(B10,'Emission Factors'!A2:A4,'Emission Factors'!AD2:AD4)&gt;0,LOOKUP($B$10,'Emission Factors'!$A$2:$A$4,'Emission Factors'!AD2:AD4)," "))</f>
        <v xml:space="preserve"> </v>
      </c>
      <c r="J22" s="44" t="str">
        <f>IF(B10=0," ",IF(LOOKUP(B10,'Emission Factors'!A2:A4,'Emission Factors'!AD2:AD4)&gt;0,LOOKUP($B$10,'Emission Factors'!$A$2:$A$4,'Emission Factors'!$E$2:$E$4)," "))</f>
        <v xml:space="preserve"> </v>
      </c>
      <c r="K22" s="124" t="str">
        <f>IF(B10=0," ",IF(LOOKUP(B10,'Emission Factors'!A2:A4,'Emission Factors'!AD2:AD4)&gt;0,LOOKUP($B$10,'Emission Factors'!$A$2:$A$4,'Emission Factors'!AE2:AE4)," "))</f>
        <v xml:space="preserve"> </v>
      </c>
      <c r="L22" s="125"/>
    </row>
    <row r="23" spans="1:16" x14ac:dyDescent="0.2">
      <c r="A23" s="68"/>
      <c r="B23" s="43"/>
      <c r="C23" s="43"/>
      <c r="H23" s="96"/>
      <c r="I23" s="97"/>
      <c r="J23" s="97"/>
      <c r="K23" s="98"/>
      <c r="L23" s="98"/>
    </row>
    <row r="24" spans="1:16" ht="27" customHeight="1" x14ac:dyDescent="0.2">
      <c r="A24" s="68"/>
      <c r="B24" s="22" t="s">
        <v>49</v>
      </c>
      <c r="C24" s="22" t="s">
        <v>68</v>
      </c>
      <c r="D24" s="22" t="s">
        <v>52</v>
      </c>
      <c r="E24" s="22" t="str">
        <f>K3 &amp;  " Fuel Usage"</f>
        <v xml:space="preserve"> Fuel Usage</v>
      </c>
      <c r="F24" s="22" t="s">
        <v>52</v>
      </c>
      <c r="G24" s="60" t="s">
        <v>48</v>
      </c>
      <c r="H24" s="22" t="s">
        <v>65</v>
      </c>
      <c r="I24" s="22" t="s">
        <v>6</v>
      </c>
      <c r="J24" s="22" t="s">
        <v>52</v>
      </c>
      <c r="K24" s="129" t="s">
        <v>54</v>
      </c>
      <c r="L24" s="129"/>
    </row>
    <row r="25" spans="1:16" x14ac:dyDescent="0.2">
      <c r="A25" s="68" t="s">
        <v>86</v>
      </c>
      <c r="B25" s="67" t="s">
        <v>88</v>
      </c>
      <c r="C25" s="122"/>
      <c r="D25" s="67" t="s">
        <v>118</v>
      </c>
      <c r="E25" s="118">
        <f>IF(C7&gt;0,C7*0.00105/0.95,0)</f>
        <v>0</v>
      </c>
      <c r="F25" s="44" t="s">
        <v>101</v>
      </c>
      <c r="G25" s="44">
        <f>IF(B25&gt;0,LOOKUP(B25,'Emission Factors'!A2:A4,'Emission Factors'!AF2:AF4)," ")</f>
        <v>20200402</v>
      </c>
      <c r="H25" s="80" t="s">
        <v>43</v>
      </c>
      <c r="I25" s="44">
        <f>IF(C7," ",IF(LOOKUP(B25,'Emission Factors'!A2:A4,'Emission Factors'!F2:F4)&gt;0,LOOKUP(B25,'Emission Factors'!A2:A4,'Emission Factors'!F2:F4)," "))</f>
        <v>5.5599999999999997E-2</v>
      </c>
      <c r="J25" s="44" t="str">
        <f>IF($B$25=0," ",IF(LOOKUP($B$25,'Emission Factors'!$A$2:$A$4,'Emission Factors'!$F$2:$F$4)&gt;0,LOOKUP($B$25,'Emission Factors'!$A$2:$A$4,'Emission Factors'!$E$2:$E$4)," "))</f>
        <v>lb/MMBtu</v>
      </c>
      <c r="K25" s="124" t="str">
        <f>IF(B25=0," ",IF(LOOKUP(B25,'Emission Factors'!A2:A4,'Emission Factors'!F2:F4)&gt;0,LOOKUP($B$25,'Emission Factors'!$A$2:$A$4,'Emission Factors'!G2:G4)," "))</f>
        <v>WebFIRE</v>
      </c>
      <c r="L25" s="125"/>
    </row>
    <row r="26" spans="1:16" x14ac:dyDescent="0.2">
      <c r="A26" s="68" t="s">
        <v>125</v>
      </c>
      <c r="B26" s="58" t="s">
        <v>90</v>
      </c>
      <c r="C26" s="106"/>
      <c r="D26" s="58"/>
      <c r="E26" s="26"/>
      <c r="F26" s="26"/>
      <c r="G26" s="26"/>
      <c r="H26" s="100" t="s">
        <v>29</v>
      </c>
      <c r="I26" s="101">
        <f>IF(B25=0," ",IF(LOOKUP(B25,'Emission Factors'!A2:A4,'Emission Factors'!H2:H4)&gt;0,LOOKUP(B25,'Emission Factors'!A2:A4,'Emission Factors'!H2:H4)," "))</f>
        <v>5.7299999999999997E-2</v>
      </c>
      <c r="J26" s="44" t="str">
        <f>IF($B$25=0," ",IF(LOOKUP($B$25,'Emission Factors'!$A$2:$A$4,'Emission Factors'!$F$2:$F$4)&gt;0,LOOKUP($B$25,'Emission Factors'!$A$2:$A$4,'Emission Factors'!$E$2:$E$4)," "))</f>
        <v>lb/MMBtu</v>
      </c>
      <c r="K26" s="124" t="str">
        <f>IF(B25=0," ",IF(LOOKUP(B25,'Emission Factors'!A2:A4,'Emission Factors'!H2:H4)&gt;0,LOOKUP($B$25,'Emission Factors'!$A$2:$A$4,'Emission Factors'!I2:I4)," "))</f>
        <v>WebFIRE</v>
      </c>
      <c r="L26" s="125"/>
    </row>
    <row r="27" spans="1:16" x14ac:dyDescent="0.2">
      <c r="A27" s="68" t="s">
        <v>126</v>
      </c>
      <c r="B27" s="64"/>
      <c r="C27" s="58"/>
      <c r="E27" s="45"/>
      <c r="F27" s="110"/>
      <c r="G27" s="45"/>
      <c r="H27" s="80" t="s">
        <v>17</v>
      </c>
      <c r="I27" s="44">
        <f>IF(B25=0," ",IF(LOOKUP(B25,'Emission Factors'!A2:A4,'Emission Factors'!J2:J4)&gt;0,LOOKUP(B25,'Emission Factors'!A2:A4,'Emission Factors'!J2:J4)," "))</f>
        <v>0.05</v>
      </c>
      <c r="J27" s="44" t="str">
        <f>IF($B$25=0," ",IF(LOOKUP($B$25,'Emission Factors'!$A$2:$A$4,'Emission Factors'!$F$2:$F$4)&gt;0,LOOKUP($B$25,'Emission Factors'!$A$2:$A$4,'Emission Factors'!$E$2:$E$4)," "))</f>
        <v>lb/MMBtu</v>
      </c>
      <c r="K27" s="124" t="str">
        <f>IF(B25=0," ",IF(LOOKUP(B25,'Emission Factors'!A2:A4,'Emission Factors'!J2:J4)&gt;0,LOOKUP($B$25,'Emission Factors'!$A$2:$A$4,'Emission Factors'!K2:K4)," "))</f>
        <v>AP-42 Table 3.4-1</v>
      </c>
      <c r="L27" s="125"/>
    </row>
    <row r="28" spans="1:16" x14ac:dyDescent="0.2">
      <c r="B28" s="119"/>
      <c r="H28" s="80" t="s">
        <v>18</v>
      </c>
      <c r="I28" s="44">
        <f>IF(B25=0," ",IF(LOOKUP(B25,'Emission Factors'!A2:A4,'Emission Factors'!L2:L4)&gt;0,LOOKUP(B25,'Emission Factors'!A2:A4,'Emission Factors'!L2:L4)," "))</f>
        <v>2.7</v>
      </c>
      <c r="J28" s="44" t="str">
        <f>IF($B$25=0," ",IF(LOOKUP($B$25,'Emission Factors'!$A$2:$A$4,'Emission Factors'!$F$2:$F$4)&gt;0,LOOKUP($B$25,'Emission Factors'!$A$2:$A$4,'Emission Factors'!$E$2:$E$4)," "))</f>
        <v>lb/MMBtu</v>
      </c>
      <c r="K28" s="124" t="str">
        <f>IF(B25=0," ",IF(LOOKUP(B25,'Emission Factors'!A2:A4,'Emission Factors'!L2:L4)&gt;0,LOOKUP($B$25,'Emission Factors'!$A$2:$A$4,'Emission Factors'!M2:M4)," "))</f>
        <v>AP-42 Table 3.4-1</v>
      </c>
      <c r="L28" s="125"/>
    </row>
    <row r="29" spans="1:16" x14ac:dyDescent="0.2">
      <c r="A29" s="104" t="s">
        <v>87</v>
      </c>
      <c r="H29" s="80" t="s">
        <v>19</v>
      </c>
      <c r="I29" s="44">
        <f>IF(B25=0," ",IF(LOOKUP(B25,'Emission Factors'!A2:A4,'Emission Factors'!N2:N4)&gt;0,LOOKUP(B25,'Emission Factors'!A2:A4,'Emission Factors'!N2:N4)," "))</f>
        <v>0.2</v>
      </c>
      <c r="J29" s="44" t="str">
        <f>IF($B$25=0," ",IF(LOOKUP($B$25,'Emission Factors'!$A$2:$A$4,'Emission Factors'!$F$2:$F$4)&gt;0,LOOKUP($B$25,'Emission Factors'!$A$2:$A$4,'Emission Factors'!$E$2:$E$4)," "))</f>
        <v>lb/MMBtu</v>
      </c>
      <c r="K29" s="124" t="str">
        <f>IF(B25=0," ",IF(LOOKUP(B25,'Emission Factors'!A2:A4,'Emission Factors'!N2:N4)&gt;0,LOOKUP($B$25,'Emission Factors'!$A$2:$A$4,'Emission Factors'!O2:O4)," "))</f>
        <v>AP-42 Table 3.4-1</v>
      </c>
      <c r="L29" s="125"/>
    </row>
    <row r="30" spans="1:16" x14ac:dyDescent="0.2">
      <c r="H30" s="80" t="s">
        <v>20</v>
      </c>
      <c r="I30" s="44">
        <f>IF(B25=0," ",IF(LOOKUP(B25,'Emission Factors'!A2:A4,'Emission Factors'!P2:P4)&gt;0,LOOKUP(B25,'Emission Factors'!A2:A4,'Emission Factors'!P2:P4)," "))</f>
        <v>1.1599999999999999</v>
      </c>
      <c r="J30" s="44" t="str">
        <f>IF($B$25=0," ",IF(LOOKUP($B$25,'Emission Factors'!$A$2:$A$4,'Emission Factors'!$F$2:$F$4)&gt;0,LOOKUP($B$25,'Emission Factors'!$A$2:$A$4,'Emission Factors'!$E$2:$E$4)," "))</f>
        <v>lb/MMBtu</v>
      </c>
      <c r="K30" s="124" t="str">
        <f>IF(B25=0," ",IF(LOOKUP(B25,'Emission Factors'!A2:A4,'Emission Factors'!P2:P4)&gt;0,LOOKUP($B$25,'Emission Factors'!$A$2:$A$4,'Emission Factors'!Q2:Q4)," "))</f>
        <v>AP-42 Table 3.4-1</v>
      </c>
      <c r="L30" s="125"/>
    </row>
    <row r="31" spans="1:16" x14ac:dyDescent="0.2">
      <c r="A31" s="68"/>
      <c r="H31" s="80" t="s">
        <v>84</v>
      </c>
      <c r="I31" s="88">
        <f>IF(B25=0," ",IF(LOOKUP(B25,'Emission Factors'!A2:A4,'Emission Factors'!R2:R4)&gt;0,LOOKUP(B25,'Emission Factors'!A2:A4,'Emission Factors'!R2:R4)," "))</f>
        <v>4.45E-3</v>
      </c>
      <c r="J31" s="44" t="str">
        <f>IF($B$25=0," ",IF(LOOKUP($B$25,'Emission Factors'!$A$2:$A$4,'Emission Factors'!$F$2:$F$4)&gt;0,LOOKUP($B$25,'Emission Factors'!$A$2:$A$4,'Emission Factors'!$E$2:$E$4)," "))</f>
        <v>lb/MMBtu</v>
      </c>
      <c r="K31" s="124" t="str">
        <f>IF(B25=0," ",IF(LOOKUP(B25,'Emission Factors'!A2:A4,'Emission Factors'!R2:R4)&gt;0,LOOKUP($B$25,'Emission Factors'!$A$2:$A$4,'Emission Factors'!S2:S4)," "))</f>
        <v>WebFIRE</v>
      </c>
      <c r="L31" s="125"/>
    </row>
    <row r="32" spans="1:16" x14ac:dyDescent="0.2">
      <c r="A32" s="68"/>
      <c r="D32" s="43"/>
      <c r="H32" s="80" t="s">
        <v>81</v>
      </c>
      <c r="I32" s="87">
        <f>IF(B25=0," ",IF(LOOKUP(B25,'Emission Factors'!A2:A4,'Emission Factors'!T2:T4)&gt;0,LOOKUP(B25,'Emission Factors'!A2:A4,'Emission Factors'!T2:T4)," "))</f>
        <v>5.4000000000000003E-3</v>
      </c>
      <c r="J32" s="44" t="str">
        <f>IF($B$25=0," ",IF(LOOKUP($B$25,'Emission Factors'!$A$2:$A$4,'Emission Factors'!$F$2:$F$4)&gt;0,LOOKUP($B$25,'Emission Factors'!$A$2:$A$4,'Emission Factors'!$E$2:$E$4)," "))</f>
        <v>lb/MMBtu</v>
      </c>
      <c r="K32" s="124" t="str">
        <f>IF(B25=0," ",IF(LOOKUP(B25,'Emission Factors'!A2:A4,'Emission Factors'!T2:T4)&gt;0,LOOKUP($B$25,'Emission Factors'!$A$2:$A$4,'Emission Factors'!U2:U4)," "))</f>
        <v>WebFIRE</v>
      </c>
      <c r="L32" s="125"/>
    </row>
    <row r="33" spans="1:12" x14ac:dyDescent="0.2">
      <c r="A33" s="68"/>
      <c r="B33" s="43"/>
      <c r="C33" s="43"/>
      <c r="H33" s="81" t="s">
        <v>85</v>
      </c>
      <c r="I33" s="44">
        <f>IF(B25=0," ",IF(LOOKUP(B25,'Emission Factors'!A2:A4,'Emission Factors'!V2:V4)&gt;0,LOOKUP(B25,'Emission Factors'!A2:A4,'Emission Factors'!V2:V4)," "))</f>
        <v>5.2300000000000003E-3</v>
      </c>
      <c r="J33" s="44" t="str">
        <f>IF($B$25=0," ",IF(LOOKUP($B$25,'Emission Factors'!$A$2:$A$4,'Emission Factors'!$F$2:$F$4)&gt;0,LOOKUP($B$25,'Emission Factors'!$A$2:$A$4,'Emission Factors'!$E$2:$E$4)," "))</f>
        <v>lb/MMBtu</v>
      </c>
      <c r="K33" s="124" t="str">
        <f>IF(B25=0," ",IF(LOOKUP(B25,'Emission Factors'!A2:A4,'Emission Factors'!V2:V4)&gt;0,LOOKUP($B$25,'Emission Factors'!$A$2:$A$4,'Emission Factors'!W2:W4)," "))</f>
        <v>WebFIRE</v>
      </c>
      <c r="L33" s="125"/>
    </row>
    <row r="34" spans="1:12" x14ac:dyDescent="0.2">
      <c r="A34" s="68"/>
      <c r="B34" s="43"/>
      <c r="C34" s="43"/>
      <c r="H34" s="81" t="s">
        <v>107</v>
      </c>
      <c r="I34" s="44">
        <f>IF(B25=0," ",IF(LOOKUP(B25,'Emission Factors'!A2:A4,'Emission Factors'!X2:X4)&gt;0,LOOKUP(B25,'Emission Factors'!A2:A4,'Emission Factors'!X2:X4)," "))</f>
        <v>1.4E-3</v>
      </c>
      <c r="J34" s="44" t="str">
        <f>IF($B$25=0," ",IF(LOOKUP($B$25,'Emission Factors'!$A$2:$A$4,'Emission Factors'!$F$2:$F$4)&gt;0,LOOKUP($B$25,'Emission Factors'!$A$2:$A$4,'Emission Factors'!$E$2:$E$4)," "))</f>
        <v>lb/MMBtu</v>
      </c>
      <c r="K34" s="124" t="str">
        <f>IF(B25=0," ",IF(LOOKUP(B25,'Emission Factors'!A2:A4,'Emission Factors'!X2:X4)&gt;0,LOOKUP(B25,'Emission Factors'!A2:A4,'Emission Factors'!Y2:Y4)," "))</f>
        <v>WebFIRE</v>
      </c>
      <c r="L34" s="125"/>
    </row>
    <row r="35" spans="1:12" x14ac:dyDescent="0.2">
      <c r="A35" s="68"/>
      <c r="B35" s="43"/>
      <c r="C35" s="43"/>
      <c r="H35" s="81" t="s">
        <v>109</v>
      </c>
      <c r="I35" s="44">
        <f>IF(B25=0," ",IF(LOOKUP(B25,'Emission Factors'!A2:A4,'Emission Factors'!Z2:Z4)&gt;0,LOOKUP(B25,'Emission Factors'!A2:A4,'Emission Factors'!Z2:Z4)," "))</f>
        <v>1.2999999999999999E-3</v>
      </c>
      <c r="J35" s="44" t="str">
        <f>IF($B$25=0," ",IF(LOOKUP($B$25,'Emission Factors'!$A$2:$A$4,'Emission Factors'!$F$2:$F$4)&gt;0,LOOKUP($B$25,'Emission Factors'!$A$2:$A$4,'Emission Factors'!$E$2:$E$4)," "))</f>
        <v>lb/MMBtu</v>
      </c>
      <c r="K35" s="124" t="str">
        <f>IF(B25=0," ",IF(LOOKUP(B25,'Emission Factors'!A2:A4,'Emission Factors'!Z2:Z4)&gt;0,LOOKUP(B25,'Emission Factors'!A2:A4,'Emission Factors'!AA2:AA4)," "))</f>
        <v>WebFIRE</v>
      </c>
      <c r="L35" s="125"/>
    </row>
    <row r="36" spans="1:12" x14ac:dyDescent="0.2">
      <c r="I36" s="42"/>
    </row>
    <row r="39" spans="1:12" x14ac:dyDescent="0.2">
      <c r="E39" s="42"/>
      <c r="F39" s="42"/>
    </row>
    <row r="40" spans="1:12" x14ac:dyDescent="0.2">
      <c r="F40" s="42"/>
    </row>
  </sheetData>
  <sheetProtection algorithmName="SHA-512" hashValue="x8AV/7UMFrWKctOWvFn4BgHmuGG3mH8fomCtj0/FroUjX04pHdVFgzT+fGXLBKWdbyZscXeblK2q7IgeKCK33Q==" saltValue="hiE6fnYtU2mMMSzBJiXcxw==" spinCount="100000" sheet="1"/>
  <mergeCells count="30">
    <mergeCell ref="K19:L19"/>
    <mergeCell ref="K20:L20"/>
    <mergeCell ref="K34:L34"/>
    <mergeCell ref="K35:L35"/>
    <mergeCell ref="K21:L21"/>
    <mergeCell ref="K22:L22"/>
    <mergeCell ref="K31:L31"/>
    <mergeCell ref="K32:L32"/>
    <mergeCell ref="K28:L28"/>
    <mergeCell ref="K29:L29"/>
    <mergeCell ref="K30:L30"/>
    <mergeCell ref="K33:L33"/>
    <mergeCell ref="K24:L24"/>
    <mergeCell ref="K25:L25"/>
    <mergeCell ref="K26:L26"/>
    <mergeCell ref="K27:L27"/>
    <mergeCell ref="K18:L18"/>
    <mergeCell ref="K17:L17"/>
    <mergeCell ref="K1:L1"/>
    <mergeCell ref="K15:L15"/>
    <mergeCell ref="K16:L16"/>
    <mergeCell ref="K12:L12"/>
    <mergeCell ref="K9:L9"/>
    <mergeCell ref="K10:L10"/>
    <mergeCell ref="K13:L13"/>
    <mergeCell ref="K14:L14"/>
    <mergeCell ref="F6:M7"/>
    <mergeCell ref="C3:H3"/>
    <mergeCell ref="K3:L3"/>
    <mergeCell ref="K11:L11"/>
  </mergeCells>
  <phoneticPr fontId="0" type="noConversion"/>
  <conditionalFormatting sqref="C11">
    <cfRule type="notContainsBlanks" dxfId="2" priority="1" stopIfTrue="1">
      <formula>LEN(TRIM(C11))&gt;0</formula>
    </cfRule>
    <cfRule type="cellIs" dxfId="1" priority="5" stopIfTrue="1" operator="equal">
      <formula>$B$11=" "</formula>
    </cfRule>
  </conditionalFormatting>
  <conditionalFormatting sqref="B11">
    <cfRule type="cellIs" dxfId="0" priority="6" stopIfTrue="1" operator="equal">
      <formula>$B$11=" "</formula>
    </cfRule>
  </conditionalFormatting>
  <dataValidations xWindow="336" yWindow="417" count="3">
    <dataValidation type="list" allowBlank="1" showInputMessage="1" showErrorMessage="1" sqref="B10">
      <formula1>Diesel</formula1>
    </dataValidation>
    <dataValidation allowBlank="1" showErrorMessage="1" promptTitle="Max Design Rate" prompt="The value entered in Cell C10 should also be entered in Cell C25" sqref="C10"/>
    <dataValidation type="decimal" operator="equal" allowBlank="1" showErrorMessage="1" error="The same values should be entered in cells C10 and C25." promptTitle="Max Design Rate" prompt="The value entered in Cell C25 should also be entered in Cell C10" sqref="C25">
      <formula1>C10</formula1>
    </dataValidation>
  </dataValidations>
  <pageMargins left="0.75" right="0.75" top="1" bottom="1" header="0.5" footer="0.5"/>
  <pageSetup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="115" workbookViewId="0"/>
  </sheetViews>
  <sheetFormatPr defaultRowHeight="12.75" x14ac:dyDescent="0.2"/>
  <cols>
    <col min="1" max="1" width="33.140625" style="14" customWidth="1"/>
    <col min="2" max="2" width="11.28515625" style="14" bestFit="1" customWidth="1"/>
    <col min="3" max="3" width="12.42578125" style="14" customWidth="1"/>
    <col min="4" max="4" width="9.140625" style="14"/>
    <col min="5" max="5" width="12.140625" style="14" customWidth="1"/>
    <col min="6" max="6" width="14.28515625" style="14" customWidth="1"/>
    <col min="7" max="7" width="9.140625" style="14"/>
    <col min="8" max="8" width="20.140625" style="14" bestFit="1" customWidth="1"/>
    <col min="9" max="9" width="14.140625" style="14" customWidth="1"/>
    <col min="10" max="10" width="12" style="14" customWidth="1"/>
    <col min="11" max="16384" width="9.140625" style="14"/>
  </cols>
  <sheetData>
    <row r="1" spans="1:9" ht="15.75" x14ac:dyDescent="0.25">
      <c r="A1" s="13" t="s">
        <v>26</v>
      </c>
    </row>
    <row r="2" spans="1:9" x14ac:dyDescent="0.2">
      <c r="A2" s="21" t="s">
        <v>42</v>
      </c>
      <c r="B2" s="135"/>
      <c r="C2" s="136"/>
      <c r="D2" s="136"/>
      <c r="E2" s="136"/>
      <c r="F2" s="137"/>
    </row>
    <row r="4" spans="1:9" x14ac:dyDescent="0.2">
      <c r="A4" s="15" t="s">
        <v>40</v>
      </c>
    </row>
    <row r="5" spans="1:9" x14ac:dyDescent="0.2">
      <c r="B5" s="16" t="s">
        <v>27</v>
      </c>
      <c r="C5" s="16" t="s">
        <v>28</v>
      </c>
      <c r="G5" s="20"/>
    </row>
    <row r="6" spans="1:9" x14ac:dyDescent="0.2">
      <c r="A6" s="12" t="s">
        <v>29</v>
      </c>
      <c r="B6" s="121"/>
      <c r="C6" s="121"/>
    </row>
    <row r="7" spans="1:9" x14ac:dyDescent="0.2">
      <c r="A7" s="12" t="s">
        <v>30</v>
      </c>
      <c r="B7" s="121"/>
      <c r="C7" s="121"/>
    </row>
    <row r="8" spans="1:9" x14ac:dyDescent="0.2">
      <c r="A8" s="12" t="s">
        <v>36</v>
      </c>
      <c r="B8" s="121"/>
      <c r="C8" s="121"/>
    </row>
    <row r="9" spans="1:9" x14ac:dyDescent="0.2">
      <c r="A9" s="12" t="s">
        <v>31</v>
      </c>
      <c r="B9" s="121"/>
      <c r="C9" s="121"/>
    </row>
    <row r="10" spans="1:9" x14ac:dyDescent="0.2">
      <c r="A10" s="12" t="s">
        <v>32</v>
      </c>
      <c r="B10" s="121"/>
      <c r="C10" s="121"/>
    </row>
    <row r="11" spans="1:9" x14ac:dyDescent="0.2">
      <c r="A11" s="12" t="s">
        <v>33</v>
      </c>
      <c r="B11" s="121"/>
      <c r="C11" s="121"/>
    </row>
    <row r="12" spans="1:9" x14ac:dyDescent="0.2">
      <c r="A12" s="12" t="s">
        <v>34</v>
      </c>
      <c r="B12" s="121"/>
      <c r="C12" s="121"/>
    </row>
    <row r="13" spans="1:9" x14ac:dyDescent="0.2">
      <c r="A13" s="12" t="s">
        <v>35</v>
      </c>
      <c r="B13" s="121"/>
      <c r="C13" s="121"/>
      <c r="E13" s="138" t="s">
        <v>116</v>
      </c>
      <c r="F13" s="138"/>
      <c r="G13" s="138"/>
      <c r="H13" s="138"/>
      <c r="I13" s="138"/>
    </row>
    <row r="14" spans="1:9" x14ac:dyDescent="0.2">
      <c r="E14" s="138"/>
      <c r="F14" s="138"/>
      <c r="G14" s="138"/>
      <c r="H14" s="138"/>
      <c r="I14" s="138"/>
    </row>
    <row r="15" spans="1:9" x14ac:dyDescent="0.2">
      <c r="A15" s="15" t="s">
        <v>39</v>
      </c>
      <c r="D15" s="17"/>
    </row>
    <row r="16" spans="1:9" x14ac:dyDescent="0.2">
      <c r="A16" s="36" t="s">
        <v>47</v>
      </c>
      <c r="B16" s="63"/>
      <c r="C16" s="114" t="s">
        <v>123</v>
      </c>
      <c r="D16" s="17"/>
    </row>
    <row r="17" spans="1:10" x14ac:dyDescent="0.2">
      <c r="A17" s="12" t="s">
        <v>99</v>
      </c>
      <c r="B17" s="63"/>
      <c r="C17" s="114" t="s">
        <v>100</v>
      </c>
      <c r="H17" s="14" t="s">
        <v>105</v>
      </c>
    </row>
    <row r="18" spans="1:10" x14ac:dyDescent="0.2">
      <c r="A18" s="12" t="s">
        <v>96</v>
      </c>
      <c r="B18" s="63"/>
      <c r="C18" s="16" t="s">
        <v>97</v>
      </c>
      <c r="D18" s="18" t="s">
        <v>104</v>
      </c>
      <c r="E18" s="16" t="str">
        <f>IF(B18="","",B18*0.14)</f>
        <v/>
      </c>
      <c r="F18" s="16" t="s">
        <v>100</v>
      </c>
      <c r="H18" s="12" t="s">
        <v>102</v>
      </c>
      <c r="I18" s="16" t="str">
        <f>IF(B18="","",IF(B19="",E18,E18-(I19-E19)))</f>
        <v/>
      </c>
      <c r="J18" s="16" t="s">
        <v>101</v>
      </c>
    </row>
    <row r="19" spans="1:10" x14ac:dyDescent="0.2">
      <c r="A19" s="12" t="s">
        <v>95</v>
      </c>
      <c r="B19" s="63"/>
      <c r="C19" s="16" t="s">
        <v>98</v>
      </c>
      <c r="D19" s="18" t="s">
        <v>104</v>
      </c>
      <c r="E19" s="16" t="str">
        <f>IF(B19="","",B19*0.00105)</f>
        <v/>
      </c>
      <c r="F19" s="16" t="s">
        <v>100</v>
      </c>
      <c r="H19" s="12" t="s">
        <v>103</v>
      </c>
      <c r="I19" s="16" t="str">
        <f>IF(B19="","",E19/0.95)</f>
        <v/>
      </c>
      <c r="J19" s="16" t="s">
        <v>101</v>
      </c>
    </row>
    <row r="20" spans="1:10" x14ac:dyDescent="0.2">
      <c r="A20" s="12" t="s">
        <v>70</v>
      </c>
      <c r="B20" s="63"/>
      <c r="C20" s="16" t="s">
        <v>69</v>
      </c>
      <c r="D20" s="77" t="s">
        <v>124</v>
      </c>
      <c r="I20" s="14" t="s">
        <v>106</v>
      </c>
    </row>
    <row r="21" spans="1:10" x14ac:dyDescent="0.2">
      <c r="A21" s="12" t="s">
        <v>37</v>
      </c>
      <c r="B21" s="63"/>
      <c r="C21" s="16" t="s">
        <v>38</v>
      </c>
    </row>
    <row r="22" spans="1:10" x14ac:dyDescent="0.2">
      <c r="B22" s="14" t="s">
        <v>41</v>
      </c>
    </row>
    <row r="24" spans="1:10" x14ac:dyDescent="0.2">
      <c r="B24" s="78" t="s">
        <v>78</v>
      </c>
    </row>
    <row r="25" spans="1:10" x14ac:dyDescent="0.2">
      <c r="B25" s="14" t="s">
        <v>80</v>
      </c>
      <c r="C25" s="70"/>
      <c r="D25" s="25" t="s">
        <v>71</v>
      </c>
      <c r="E25" s="76">
        <f>C25/1000</f>
        <v>0</v>
      </c>
      <c r="F25" s="25" t="s">
        <v>72</v>
      </c>
      <c r="G25" s="62" t="s">
        <v>73</v>
      </c>
    </row>
    <row r="26" spans="1:10" x14ac:dyDescent="0.2">
      <c r="B26" s="14" t="s">
        <v>79</v>
      </c>
      <c r="C26" s="70"/>
      <c r="D26" s="25" t="s">
        <v>71</v>
      </c>
      <c r="E26" s="76">
        <f>C26*0.14</f>
        <v>0</v>
      </c>
      <c r="F26" s="25" t="s">
        <v>67</v>
      </c>
      <c r="G26" s="62" t="s">
        <v>75</v>
      </c>
    </row>
  </sheetData>
  <sheetProtection password="DC15" sheet="1"/>
  <mergeCells count="2">
    <mergeCell ref="B2:F2"/>
    <mergeCell ref="E13:I14"/>
  </mergeCells>
  <phoneticPr fontId="5" type="noConversion"/>
  <pageMargins left="0.75" right="0.75" top="1" bottom="1" header="0.5" footer="0.5"/>
  <pageSetup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5" workbookViewId="0">
      <selection activeCell="A2" sqref="A2"/>
    </sheetView>
  </sheetViews>
  <sheetFormatPr defaultRowHeight="12.75" x14ac:dyDescent="0.2"/>
  <cols>
    <col min="1" max="2" width="10.85546875" customWidth="1"/>
    <col min="3" max="3" width="9.42578125" customWidth="1"/>
    <col min="4" max="4" width="11.5703125" customWidth="1"/>
    <col min="6" max="6" width="9.7109375" customWidth="1"/>
    <col min="9" max="10" width="8.7109375" customWidth="1"/>
  </cols>
  <sheetData>
    <row r="1" spans="1:10" x14ac:dyDescent="0.2">
      <c r="A1" t="s">
        <v>93</v>
      </c>
    </row>
    <row r="3" spans="1:10" ht="15.75" x14ac:dyDescent="0.25">
      <c r="A3" s="139" t="s">
        <v>91</v>
      </c>
      <c r="B3" s="139"/>
      <c r="C3" s="139"/>
      <c r="D3" s="139"/>
      <c r="E3" s="139"/>
      <c r="F3" s="139"/>
      <c r="G3" s="139"/>
      <c r="H3" s="139"/>
    </row>
    <row r="4" spans="1:10" s="28" customFormat="1" x14ac:dyDescent="0.2">
      <c r="A4" s="148" t="s">
        <v>44</v>
      </c>
      <c r="B4" s="149"/>
      <c r="C4" s="150"/>
      <c r="D4" s="155" t="str">
        <f>Combustion!G10</f>
        <v xml:space="preserve"> </v>
      </c>
      <c r="E4" s="156"/>
      <c r="F4" s="156"/>
      <c r="G4" s="156"/>
      <c r="H4" s="156"/>
      <c r="I4" s="156"/>
      <c r="J4" s="157"/>
    </row>
    <row r="5" spans="1:10" s="28" customFormat="1" x14ac:dyDescent="0.2">
      <c r="A5" s="148" t="s">
        <v>45</v>
      </c>
      <c r="B5" s="149"/>
      <c r="C5" s="142"/>
      <c r="D5" s="155" t="e">
        <f>Combustion!A12</f>
        <v>#N/A</v>
      </c>
      <c r="E5" s="156"/>
      <c r="F5" s="156"/>
      <c r="G5" s="156"/>
      <c r="H5" s="156"/>
      <c r="I5" s="156"/>
      <c r="J5" s="157"/>
    </row>
    <row r="6" spans="1:10" s="28" customFormat="1" x14ac:dyDescent="0.2">
      <c r="A6" s="148" t="s">
        <v>46</v>
      </c>
      <c r="B6" s="149"/>
      <c r="C6" s="154"/>
      <c r="D6" s="155" t="e">
        <f>Combustion!A13</f>
        <v>#N/A</v>
      </c>
      <c r="E6" s="156"/>
      <c r="F6" s="156"/>
      <c r="G6" s="156"/>
      <c r="H6" s="156"/>
      <c r="I6" s="156"/>
      <c r="J6" s="157"/>
    </row>
    <row r="7" spans="1:10" x14ac:dyDescent="0.2">
      <c r="A7" s="140" t="s">
        <v>2</v>
      </c>
      <c r="B7" s="141"/>
      <c r="C7" s="142"/>
      <c r="D7" s="143">
        <f>IF('Permit Limits'!B16&gt;0,'Permit Limits'!B16,Combustion!C10)</f>
        <v>0</v>
      </c>
      <c r="E7" s="144"/>
      <c r="F7" s="145" t="str">
        <f>Combustion!F10</f>
        <v>MMBtu/yr</v>
      </c>
      <c r="G7" s="146"/>
      <c r="H7" s="147"/>
      <c r="I7" s="140" t="s">
        <v>3</v>
      </c>
      <c r="J7" s="142"/>
    </row>
    <row r="8" spans="1:10" x14ac:dyDescent="0.2">
      <c r="A8" s="10"/>
      <c r="B8" s="10"/>
      <c r="C8" s="10"/>
      <c r="D8" s="11"/>
      <c r="E8" s="8"/>
      <c r="F8" s="6"/>
      <c r="G8" s="6"/>
      <c r="H8" s="6"/>
      <c r="I8" s="7"/>
      <c r="J8" s="7"/>
    </row>
    <row r="9" spans="1:10" x14ac:dyDescent="0.2">
      <c r="A9" s="151" t="s">
        <v>4</v>
      </c>
      <c r="B9" s="152"/>
      <c r="C9" s="152"/>
      <c r="D9" s="152"/>
      <c r="E9" s="152"/>
      <c r="F9" s="152"/>
      <c r="G9" s="152"/>
      <c r="H9" s="152"/>
      <c r="I9" s="152"/>
      <c r="J9" s="150"/>
    </row>
    <row r="10" spans="1:10" x14ac:dyDescent="0.2">
      <c r="A10" s="1">
        <v>14</v>
      </c>
      <c r="B10" s="1">
        <v>15</v>
      </c>
      <c r="C10" s="1">
        <v>16</v>
      </c>
      <c r="D10" s="1">
        <v>17</v>
      </c>
      <c r="E10" s="1">
        <v>18</v>
      </c>
      <c r="F10" s="1">
        <v>19</v>
      </c>
      <c r="G10" s="1">
        <v>20</v>
      </c>
      <c r="H10" s="1">
        <v>21</v>
      </c>
      <c r="I10" s="1">
        <v>22</v>
      </c>
      <c r="J10" s="1">
        <v>23</v>
      </c>
    </row>
    <row r="11" spans="1:10" ht="67.5" x14ac:dyDescent="0.2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  <c r="I11" s="4" t="s">
        <v>13</v>
      </c>
      <c r="J11" s="4" t="s">
        <v>14</v>
      </c>
    </row>
    <row r="12" spans="1:10" x14ac:dyDescent="0.2">
      <c r="A12" s="5" t="s">
        <v>15</v>
      </c>
      <c r="B12" s="29" t="str">
        <f>IF(Combustion!I10&gt;0,IF(Combustion!I10&gt;Combustion!I25,Combustion!I10," "),"")</f>
        <v xml:space="preserve"> </v>
      </c>
      <c r="C12" s="30" t="str">
        <f>IF(B12=" "," ",Combustion!J10)</f>
        <v xml:space="preserve"> </v>
      </c>
      <c r="D12" s="83" t="str">
        <f>IF(B12=" "," ",Combustion!K10)</f>
        <v xml:space="preserve"> </v>
      </c>
      <c r="E12" s="115"/>
      <c r="F12" s="33" t="str">
        <f>IF(B12=" "," ",$D$7*B12)</f>
        <v xml:space="preserve"> </v>
      </c>
      <c r="G12" s="31"/>
      <c r="H12" s="115"/>
      <c r="I12" s="33"/>
      <c r="J12" s="57" t="str">
        <f>IF(B12=" "," ",IF('Permit Limits'!B17&gt;0,'Permit Limits'!B17*B12/2000,IF('Permit Limits'!B18&gt;0,'Permit Limits'!I18*B12/2000,IF('Permit Limits'!B21&gt;0,'Permit Limits'!B21*D7*B13/2000,IF('Permit Limits'!C8=99,'INV-3'!B12*61875/2000,F12*8760/2000)))))</f>
        <v xml:space="preserve"> </v>
      </c>
    </row>
    <row r="13" spans="1:10" x14ac:dyDescent="0.2">
      <c r="A13" s="5" t="s">
        <v>16</v>
      </c>
      <c r="B13" s="29" t="str">
        <f>IF(Combustion!I11&gt;0,Combustion!I11," ")</f>
        <v xml:space="preserve"> </v>
      </c>
      <c r="C13" s="30" t="str">
        <f>IF(Combustion!I11=" "," ",Combustion!J11)</f>
        <v xml:space="preserve"> </v>
      </c>
      <c r="D13" s="83" t="str">
        <f>IF(Combustion!I11&gt;0,Combustion!K11," ")</f>
        <v xml:space="preserve"> </v>
      </c>
      <c r="E13" s="115"/>
      <c r="F13" s="33" t="str">
        <f>IF(Combustion!I11=" "," ",$D$7*B13)</f>
        <v xml:space="preserve"> </v>
      </c>
      <c r="G13" s="31"/>
      <c r="H13" s="115"/>
      <c r="I13" s="33" t="str">
        <f>IF('Permit Limits'!B6&gt;0,'Permit Limits'!B6," ")</f>
        <v xml:space="preserve"> </v>
      </c>
      <c r="J13" s="57" t="str">
        <f>IF(Combustion!I11=" "," ",IF('Permit Limits'!C6&gt;0,'Permit Limits'!C6,IF('Permit Limits'!B17&gt;0,'Permit Limits'!B17*B13/2000,IF('Permit Limits'!B18&gt;0,'Permit Limits'!I18*B13/2000,IF('Permit Limits'!B21&gt;0,IF('Permit Limits'!B6&gt;0,('Permit Limits'!B6*'Permit Limits'!B21/2000),'Permit Limits'!B21*D7*B13/2000),IF('Permit Limits'!B6&gt;0,'Permit Limits'!B6*8760/2000,IF('Permit Limits'!C8=99,B13*61875/2000,F13*8760/2000)))))))</f>
        <v xml:space="preserve"> </v>
      </c>
    </row>
    <row r="14" spans="1:10" x14ac:dyDescent="0.2">
      <c r="A14" s="5" t="s">
        <v>17</v>
      </c>
      <c r="B14" s="29" t="str">
        <f>IF(Combustion!I12&gt;0,Combustion!I12," ")</f>
        <v xml:space="preserve"> </v>
      </c>
      <c r="C14" s="30" t="str">
        <f>IF(Combustion!I12=" "," ",Combustion!J12)</f>
        <v xml:space="preserve"> </v>
      </c>
      <c r="D14" s="83" t="str">
        <f>IF(Combustion!I12&gt;0,Combustion!K12," ")</f>
        <v xml:space="preserve"> </v>
      </c>
      <c r="E14" s="29" t="str">
        <f>IF(Combustion!B10="Diesel Fuel Combustion ≤ 600 bhp","",IF(Combustion!B10="","",IF('Permit Limits'!B20&gt;0,'Permit Limits'!B20,IF(Combustion!C11&gt;0,IF(Combustion!C11&gt;0.5,0.5,Combustion!C11),0.5))))</f>
        <v/>
      </c>
      <c r="F14" s="33" t="str">
        <f>IF(Combustion!I12=" "," ",IF(Combustion!B10="Diesel Fuel Combustion ≤ 600 bhp",B14*D7,""))</f>
        <v xml:space="preserve"> </v>
      </c>
      <c r="G14" s="31"/>
      <c r="H14" s="53"/>
      <c r="I14" s="33" t="str">
        <f>IF('Permit Limits'!B7&gt;0,'Permit Limits'!B7,IF(Combustion!B10="Diesel Fuel Combustion &gt; 600 bhp",B14*E14*D7,""))</f>
        <v/>
      </c>
      <c r="J14" s="33" t="str">
        <f>IF(Combustion!I12=" "," ",IF('Permit Limits'!C7&gt;0,'Permit Limits'!C7,IF('Permit Limits'!B17&gt;0,'Permit Limits'!B17*B14*E14/2000,IF('Permit Limits'!B18&gt;0,'Permit Limits'!I18*B14*E14/2000,IF('Permit Limits'!B21&gt;0,IF('Permit Limits'!B7&gt;0,('Permit Limits'!B7*'Permit Limits'!B21/2000),'Permit Limits'!B21*D7*B14*E14/2000),IF('Permit Limits'!B7&gt;0,'Permit Limits'!B7*8760/2000,IF('Permit Limits'!C8=99,B14*E14*61875/2000,IF(I14&gt;0,I14*8760/2000,F14*8760/2000))))))))</f>
        <v xml:space="preserve"> </v>
      </c>
    </row>
    <row r="15" spans="1:10" x14ac:dyDescent="0.2">
      <c r="A15" s="5" t="s">
        <v>18</v>
      </c>
      <c r="B15" s="29" t="str">
        <f>IF(Combustion!I13&gt;0,Combustion!I13," ")</f>
        <v xml:space="preserve"> </v>
      </c>
      <c r="C15" s="30" t="str">
        <f>IF(Combustion!I13=" "," ",Combustion!J13)</f>
        <v xml:space="preserve"> </v>
      </c>
      <c r="D15" s="83" t="str">
        <f>IF(Combustion!I13&gt;0,Combustion!K13," ")</f>
        <v xml:space="preserve"> </v>
      </c>
      <c r="E15" s="2"/>
      <c r="F15" s="33" t="str">
        <f>IF(Combustion!I13= " "," ",$D$7*B15)</f>
        <v xml:space="preserve"> </v>
      </c>
      <c r="G15" s="31"/>
      <c r="H15" s="2"/>
      <c r="I15" s="29" t="str">
        <f>IF('Permit Limits'!B8&gt;0,'Permit Limits'!B8," ")</f>
        <v xml:space="preserve"> </v>
      </c>
      <c r="J15" s="33" t="str">
        <f>IF(Combustion!I13=" "," ",IF('Permit Limits'!C8&gt;0,'Permit Limits'!C8,IF('Permit Limits'!B17&gt;0,'Permit Limits'!B17*B15/2000,IF('Permit Limits'!B18&gt;0,'Permit Limits'!I18*B15/2000,IF('Permit Limits'!B21&gt;0,IF('Permit Limits'!B8&gt;0,('Permit Limits'!B21*'Permit Limits'!B8/2000),'Permit Limits'!B21*D7*B15/2000),IF('Permit Limits'!B8&gt;0,'Permit Limits'!B8*8760/2000,IF('Permit Limits'!C8=99,B15*61875/2000,F15*8760/2000)))))))</f>
        <v xml:space="preserve"> </v>
      </c>
    </row>
    <row r="16" spans="1:10" x14ac:dyDescent="0.2">
      <c r="A16" s="5" t="s">
        <v>19</v>
      </c>
      <c r="B16" s="29"/>
      <c r="C16" s="30"/>
      <c r="D16" s="83"/>
      <c r="E16" s="2"/>
      <c r="F16" s="33"/>
      <c r="G16" s="31"/>
      <c r="H16" s="2"/>
      <c r="I16" s="29"/>
      <c r="J16" s="33"/>
    </row>
    <row r="17" spans="1:11" x14ac:dyDescent="0.2">
      <c r="A17" s="5" t="s">
        <v>20</v>
      </c>
      <c r="B17" s="29"/>
      <c r="C17" s="30"/>
      <c r="D17" s="83"/>
      <c r="E17" s="2"/>
      <c r="F17" s="33"/>
      <c r="G17" s="31"/>
      <c r="H17" s="2"/>
      <c r="I17" s="29"/>
      <c r="J17" s="33"/>
    </row>
    <row r="18" spans="1:11" x14ac:dyDescent="0.2">
      <c r="A18" s="5" t="s">
        <v>21</v>
      </c>
      <c r="B18" s="29"/>
      <c r="C18" s="30"/>
      <c r="D18" s="91"/>
      <c r="E18" s="2"/>
      <c r="F18" s="29"/>
      <c r="G18" s="31"/>
      <c r="H18" s="2"/>
      <c r="I18" s="29"/>
      <c r="J18" s="33"/>
    </row>
    <row r="19" spans="1:11" x14ac:dyDescent="0.2">
      <c r="A19" s="5" t="s">
        <v>22</v>
      </c>
      <c r="B19" s="29"/>
      <c r="C19" s="30"/>
      <c r="D19" s="92"/>
      <c r="E19" s="2"/>
      <c r="G19" s="31"/>
      <c r="H19" s="2"/>
      <c r="I19" s="29"/>
      <c r="J19" s="95"/>
    </row>
    <row r="20" spans="1:11" x14ac:dyDescent="0.2">
      <c r="A20" s="151" t="s">
        <v>23</v>
      </c>
      <c r="B20" s="152"/>
      <c r="C20" s="152"/>
      <c r="D20" s="152"/>
      <c r="E20" s="152"/>
      <c r="F20" s="152"/>
      <c r="G20" s="152"/>
      <c r="H20" s="152"/>
      <c r="I20" s="152"/>
      <c r="J20" s="153"/>
      <c r="K20" t="s">
        <v>76</v>
      </c>
    </row>
    <row r="21" spans="1:11" ht="14.25" customHeight="1" x14ac:dyDescent="0.2">
      <c r="A21" s="4" t="str">
        <f>IF(Combustion!I21="","",Combustion!H21)</f>
        <v>Acetaldehyde</v>
      </c>
      <c r="B21" s="109" t="str">
        <f>IF(Combustion!J21="","",Combustion!I21)</f>
        <v xml:space="preserve"> </v>
      </c>
      <c r="C21" s="61" t="str">
        <f>IF(Combustion!I21=" "," ",Combustion!J21)</f>
        <v xml:space="preserve"> </v>
      </c>
      <c r="D21" s="93" t="str">
        <f>IF(Combustion!I21&gt;0,Combustion!K21," ")</f>
        <v xml:space="preserve"> </v>
      </c>
      <c r="E21" s="56"/>
      <c r="F21" s="33" t="str">
        <f>IF(Combustion!I21= " "," ",$D$7*B21)</f>
        <v xml:space="preserve"> </v>
      </c>
      <c r="G21" s="29"/>
      <c r="H21" s="56"/>
      <c r="I21" s="29"/>
      <c r="J21" s="33" t="str">
        <f>IF(Combustion!I21=" "," ",IF('Permit Limits'!$C$12&gt;0,'Permit Limits'!$C$12,IF('Permit Limits'!$B$17&gt;0,'Permit Limits'!$B$17*B21/2000,IF('Permit Limits'!$B$18&gt;0,'Permit Limits'!$I$18*B21/2000,IF('Permit Limits'!$B$21&gt;0,IF('Permit Limits'!$B$8&gt;0,('Permit Limits'!$B$21*'Permit Limits'!$B$8/2000),'Permit Limits'!$B$21*$D$7*B21/2000),IF('Permit Limits'!$B$12&gt;0,'Permit Limits'!$B$12*8760/2000,IF('Permit Limits'!C8=99,B21*61875/2000,F21*8760/2000)))))))</f>
        <v xml:space="preserve"> </v>
      </c>
    </row>
    <row r="22" spans="1:11" ht="12.75" customHeight="1" x14ac:dyDescent="0.2">
      <c r="A22" s="4" t="str">
        <f>IF(Combustion!I22="","",Combustion!H22)</f>
        <v>Acrolein</v>
      </c>
      <c r="B22" s="109" t="str">
        <f>IF(Combustion!J22="","",Combustion!I22)</f>
        <v xml:space="preserve"> </v>
      </c>
      <c r="C22" s="61" t="str">
        <f>IF(Combustion!I22=" "," ",Combustion!J22)</f>
        <v xml:space="preserve"> </v>
      </c>
      <c r="D22" s="93" t="str">
        <f>IF(Combustion!I22&gt;0,Combustion!K22," ")</f>
        <v xml:space="preserve"> </v>
      </c>
      <c r="E22" s="56"/>
      <c r="F22" s="33" t="str">
        <f>IF(Combustion!I22= " "," ",$D$7*B22)</f>
        <v xml:space="preserve"> </v>
      </c>
      <c r="G22" s="29"/>
      <c r="H22" s="56"/>
      <c r="I22" s="29"/>
      <c r="J22" s="33" t="str">
        <f>IF(Combustion!I22=" "," ",IF('Permit Limits'!$C$12&gt;0,'Permit Limits'!$C$12,IF('Permit Limits'!$B$17&gt;0,'Permit Limits'!$B$17*B22/2000,IF('Permit Limits'!$B$18&gt;0,'Permit Limits'!$I$18*B22/2000,IF('Permit Limits'!$B$21&gt;0,IF('Permit Limits'!$B$8&gt;0,('Permit Limits'!$B$21*'Permit Limits'!$B$8/2000),'Permit Limits'!$B$21*$D$7*B22/2000),IF('Permit Limits'!$B$12&gt;0,'Permit Limits'!$B$12*8760/2000,IF('Permit Limits'!C8=99,B22*61875/2000,F22*8760/2000)))))))</f>
        <v xml:space="preserve"> </v>
      </c>
    </row>
    <row r="23" spans="1:11" ht="14.25" customHeight="1" x14ac:dyDescent="0.2">
      <c r="A23" s="4"/>
      <c r="B23" s="52"/>
      <c r="C23" s="61"/>
      <c r="D23" s="93"/>
      <c r="E23" s="56"/>
      <c r="F23" s="33"/>
      <c r="G23" s="29"/>
      <c r="H23" s="56"/>
      <c r="I23" s="29"/>
      <c r="J23" s="57"/>
    </row>
    <row r="24" spans="1:11" ht="14.25" customHeight="1" x14ac:dyDescent="0.2">
      <c r="A24" s="4"/>
      <c r="B24" s="52"/>
      <c r="C24" s="61"/>
      <c r="D24" s="93"/>
      <c r="E24" s="56"/>
      <c r="F24" s="33"/>
      <c r="G24" s="29"/>
      <c r="H24" s="56"/>
      <c r="I24" s="29"/>
      <c r="J24" s="57"/>
    </row>
    <row r="25" spans="1:11" ht="14.25" customHeight="1" x14ac:dyDescent="0.2">
      <c r="A25" s="4"/>
      <c r="B25" s="52"/>
      <c r="C25" s="61"/>
      <c r="D25" s="93"/>
      <c r="E25" s="56"/>
      <c r="F25" s="33"/>
      <c r="G25" s="29"/>
      <c r="H25" s="56"/>
      <c r="I25" s="29"/>
      <c r="J25" s="57"/>
    </row>
    <row r="26" spans="1:11" x14ac:dyDescent="0.2">
      <c r="A26" s="107" t="s">
        <v>114</v>
      </c>
    </row>
    <row r="27" spans="1:11" x14ac:dyDescent="0.2">
      <c r="A27" s="107"/>
    </row>
    <row r="29" spans="1:11" ht="15.75" x14ac:dyDescent="0.25">
      <c r="A29" s="158" t="s">
        <v>91</v>
      </c>
      <c r="B29" s="159"/>
      <c r="C29" s="159"/>
      <c r="D29" s="159"/>
      <c r="E29" s="159"/>
      <c r="F29" s="159"/>
      <c r="G29" s="159"/>
      <c r="H29" s="159"/>
    </row>
    <row r="30" spans="1:11" x14ac:dyDescent="0.2">
      <c r="A30" s="148" t="s">
        <v>44</v>
      </c>
      <c r="B30" s="149"/>
      <c r="C30" s="150"/>
      <c r="D30" s="155">
        <f>Combustion!G25</f>
        <v>20200402</v>
      </c>
      <c r="E30" s="156"/>
      <c r="F30" s="156"/>
      <c r="G30" s="156"/>
      <c r="H30" s="156"/>
      <c r="I30" s="156"/>
      <c r="J30" s="157"/>
    </row>
    <row r="31" spans="1:11" x14ac:dyDescent="0.2">
      <c r="A31" s="148" t="s">
        <v>45</v>
      </c>
      <c r="B31" s="149"/>
      <c r="C31" s="142"/>
      <c r="D31" s="155" t="str">
        <f>Combustion!A25</f>
        <v>Dual Fuel Combustion</v>
      </c>
      <c r="E31" s="156"/>
      <c r="F31" s="156"/>
      <c r="G31" s="156"/>
      <c r="H31" s="156"/>
      <c r="I31" s="156"/>
      <c r="J31" s="157"/>
    </row>
    <row r="32" spans="1:11" x14ac:dyDescent="0.2">
      <c r="A32" s="148" t="s">
        <v>46</v>
      </c>
      <c r="B32" s="149"/>
      <c r="C32" s="154"/>
      <c r="D32" s="155" t="str">
        <f>Combustion!A29</f>
        <v>Dual Fuel (95% Natural Gas, 5% Diesel Fuel)</v>
      </c>
      <c r="E32" s="156"/>
      <c r="F32" s="156"/>
      <c r="G32" s="156"/>
      <c r="H32" s="156"/>
      <c r="I32" s="156"/>
      <c r="J32" s="157"/>
    </row>
    <row r="33" spans="1:10" x14ac:dyDescent="0.2">
      <c r="A33" s="140" t="s">
        <v>2</v>
      </c>
      <c r="B33" s="141"/>
      <c r="C33" s="142"/>
      <c r="D33" s="143">
        <f>IF('Permit Limits'!B16&gt;0,'Permit Limits'!B16,Combustion!C25)</f>
        <v>0</v>
      </c>
      <c r="E33" s="144"/>
      <c r="F33" s="145" t="str">
        <f>Combustion!F25</f>
        <v>MMBtu/yr</v>
      </c>
      <c r="G33" s="146"/>
      <c r="H33" s="147"/>
      <c r="I33" s="140" t="s">
        <v>3</v>
      </c>
      <c r="J33" s="142"/>
    </row>
    <row r="34" spans="1:10" x14ac:dyDescent="0.2">
      <c r="A34" s="10"/>
      <c r="B34" s="10"/>
      <c r="C34" s="10"/>
      <c r="D34" s="11"/>
      <c r="E34" s="8"/>
      <c r="F34" s="6"/>
      <c r="G34" s="6"/>
      <c r="H34" s="6"/>
      <c r="I34" s="7"/>
      <c r="J34" s="7"/>
    </row>
    <row r="35" spans="1:10" x14ac:dyDescent="0.2">
      <c r="A35" s="151" t="s">
        <v>4</v>
      </c>
      <c r="B35" s="152"/>
      <c r="C35" s="152"/>
      <c r="D35" s="152"/>
      <c r="E35" s="152"/>
      <c r="F35" s="152"/>
      <c r="G35" s="152"/>
      <c r="H35" s="152"/>
      <c r="I35" s="152"/>
      <c r="J35" s="153"/>
    </row>
    <row r="36" spans="1:10" x14ac:dyDescent="0.2">
      <c r="A36" s="1">
        <v>14</v>
      </c>
      <c r="B36" s="1">
        <v>15</v>
      </c>
      <c r="C36" s="1">
        <v>16</v>
      </c>
      <c r="D36" s="1">
        <v>17</v>
      </c>
      <c r="E36" s="1">
        <v>18</v>
      </c>
      <c r="F36" s="1">
        <v>19</v>
      </c>
      <c r="G36" s="1">
        <v>20</v>
      </c>
      <c r="H36" s="1">
        <v>21</v>
      </c>
      <c r="I36" s="1">
        <v>22</v>
      </c>
      <c r="J36" s="1">
        <v>23</v>
      </c>
    </row>
    <row r="37" spans="1:10" ht="67.5" x14ac:dyDescent="0.2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4" t="s">
        <v>10</v>
      </c>
      <c r="G37" s="4" t="s">
        <v>11</v>
      </c>
      <c r="H37" s="4" t="s">
        <v>12</v>
      </c>
      <c r="I37" s="4" t="s">
        <v>13</v>
      </c>
      <c r="J37" s="4" t="s">
        <v>14</v>
      </c>
    </row>
    <row r="38" spans="1:10" x14ac:dyDescent="0.2">
      <c r="A38" s="5" t="s">
        <v>15</v>
      </c>
      <c r="B38" s="29" t="str">
        <f>IF(Combustion!I25&gt;0,IF(Combustion!I25&gt;Combustion!I10,Combustion!I25," "),"")</f>
        <v xml:space="preserve"> </v>
      </c>
      <c r="C38" s="30" t="str">
        <f>IF(B38=" "," ",Combustion!J25)</f>
        <v xml:space="preserve"> </v>
      </c>
      <c r="D38" s="83" t="str">
        <f>IF(B38=" "," ",Combustion!K25)</f>
        <v xml:space="preserve"> </v>
      </c>
      <c r="E38" s="115"/>
      <c r="F38" s="33" t="str">
        <f>IF(B38=" "," ",$D$7*B38)</f>
        <v xml:space="preserve"> </v>
      </c>
      <c r="G38" s="31"/>
      <c r="H38" s="115"/>
      <c r="I38" s="37"/>
      <c r="J38" s="57" t="str">
        <f>IF(B38=" "," ",IF('Permit Limits'!B17&gt;0,'Permit Limits'!B17*B38/2000,IF('Permit Limits'!B19&gt;0,'Permit Limits'!I19*B38/2000,IF('Permit Limits'!B21&gt;0,'Permit Limits'!B21*D33*B38/2000,IF('Permit Limits'!C8=99,B38*73333.33/2000,F38*8760/2000)))))</f>
        <v xml:space="preserve"> </v>
      </c>
    </row>
    <row r="39" spans="1:10" x14ac:dyDescent="0.2">
      <c r="A39" s="5" t="s">
        <v>16</v>
      </c>
      <c r="B39" s="29"/>
      <c r="C39" s="30"/>
      <c r="D39" s="83"/>
      <c r="E39" s="115"/>
      <c r="F39" s="33"/>
      <c r="G39" s="31"/>
      <c r="H39" s="115"/>
      <c r="I39" s="37"/>
      <c r="J39" s="57"/>
    </row>
    <row r="40" spans="1:10" x14ac:dyDescent="0.2">
      <c r="A40" s="5" t="s">
        <v>17</v>
      </c>
      <c r="B40" s="29"/>
      <c r="C40" s="30"/>
      <c r="D40" s="83"/>
      <c r="E40" s="29"/>
      <c r="F40" s="33"/>
      <c r="G40" s="31"/>
      <c r="H40" s="53"/>
      <c r="I40" s="31"/>
      <c r="J40" s="33"/>
    </row>
    <row r="41" spans="1:10" x14ac:dyDescent="0.2">
      <c r="A41" s="5" t="s">
        <v>18</v>
      </c>
      <c r="B41" s="29"/>
      <c r="C41" s="30"/>
      <c r="D41" s="83"/>
      <c r="E41" s="2"/>
      <c r="F41" s="33"/>
      <c r="G41" s="31"/>
      <c r="H41" s="2"/>
      <c r="I41" s="31"/>
      <c r="J41" s="33"/>
    </row>
    <row r="42" spans="1:10" x14ac:dyDescent="0.2">
      <c r="A42" s="5" t="s">
        <v>19</v>
      </c>
      <c r="B42" s="29">
        <f>IF(Combustion!I29&gt;0,Combustion!I29," ")</f>
        <v>0.2</v>
      </c>
      <c r="C42" s="30" t="str">
        <f>IF(Combustion!I29=" "," ",Combustion!J29)</f>
        <v>lb/MMBtu</v>
      </c>
      <c r="D42" s="83" t="str">
        <f>IF(Combustion!I29&gt;0,Combustion!K29," ")</f>
        <v>AP-42 Table 3.4-1</v>
      </c>
      <c r="E42" s="2"/>
      <c r="F42" s="33">
        <f>IF(Combustion!I43=" "," ",$D$7*B42)</f>
        <v>0</v>
      </c>
      <c r="G42" s="31"/>
      <c r="H42" s="2"/>
      <c r="I42" s="31" t="str">
        <f>IF('Permit Limits'!B9&gt;0,'Permit Limits'!B9," ")</f>
        <v xml:space="preserve"> </v>
      </c>
      <c r="J42" s="33">
        <f>IF(Combustion!I29=" "," ",IF('Permit Limits'!C9&gt;0,'Permit Limits'!C9,IF('Permit Limits'!$B$17&gt;0,'Permit Limits'!$B$17*B42/2000,IF('Permit Limits'!$B$19&gt;0,'Permit Limits'!$I$19*B42/2000,IF('Permit Limits'!$B$21&gt;0,IF('Permit Limits'!B9&gt;0,('Permit Limits'!$B$21*'Permit Limits'!B9/2000),'Permit Limits'!$B$21*$D$33*B42/2000),IF('Permit Limits'!B9&gt;0,'Permit Limits'!B9*8760/2000,IF('Permit Limits'!C8=99,B42*73333.33/2000,F42*8760/2000)))))))</f>
        <v>0</v>
      </c>
    </row>
    <row r="43" spans="1:10" x14ac:dyDescent="0.2">
      <c r="A43" s="5" t="s">
        <v>20</v>
      </c>
      <c r="B43" s="29">
        <f>IF(Combustion!I30&gt;0,Combustion!I30," ")</f>
        <v>1.1599999999999999</v>
      </c>
      <c r="C43" s="30" t="str">
        <f>IF(Combustion!I30=" "," ",Combustion!J30)</f>
        <v>lb/MMBtu</v>
      </c>
      <c r="D43" s="83" t="str">
        <f>IF(Combustion!I30&gt;0,Combustion!K30," ")</f>
        <v>AP-42 Table 3.4-1</v>
      </c>
      <c r="E43" s="2"/>
      <c r="F43" s="33">
        <f>IF(Combustion!I44=" "," ",$D$7*B43)</f>
        <v>0</v>
      </c>
      <c r="G43" s="31"/>
      <c r="H43" s="2"/>
      <c r="I43" s="31" t="str">
        <f>IF('Permit Limits'!B10&gt;0,'Permit Limits'!B10," ")</f>
        <v xml:space="preserve"> </v>
      </c>
      <c r="J43" s="33">
        <f>IF(Combustion!I30=" "," ",IF('Permit Limits'!C10&gt;0,'Permit Limits'!C10,IF('Permit Limits'!$B$17&gt;0,'Permit Limits'!$B$17*B43/2000,IF('Permit Limits'!$B$19&gt;0,'Permit Limits'!$I$19*B43/2000,IF('Permit Limits'!$B$21&gt;0,IF('Permit Limits'!B10&gt;0,('Permit Limits'!$B$21*'Permit Limits'!B10/2000),'Permit Limits'!$B$21*$D$33*B43/2000),IF('Permit Limits'!B10&gt;0,'Permit Limits'!B10*8760/2000,IF('Permit Limits'!C8=99,B43*73333.33/2000,F43*8760/2000)))))))</f>
        <v>0</v>
      </c>
    </row>
    <row r="44" spans="1:10" x14ac:dyDescent="0.2">
      <c r="A44" s="5" t="s">
        <v>21</v>
      </c>
      <c r="B44" s="29"/>
      <c r="C44" s="30"/>
      <c r="D44" s="91"/>
      <c r="E44" s="2"/>
      <c r="F44" s="29"/>
      <c r="G44" s="31"/>
      <c r="H44" s="2"/>
      <c r="I44" s="31"/>
      <c r="J44" s="33"/>
    </row>
    <row r="45" spans="1:10" x14ac:dyDescent="0.2">
      <c r="A45" s="5" t="s">
        <v>22</v>
      </c>
      <c r="B45" s="29"/>
      <c r="C45" s="30"/>
      <c r="D45" s="92"/>
      <c r="E45" s="2"/>
      <c r="F45" s="33"/>
      <c r="G45" s="31"/>
      <c r="H45" s="2"/>
      <c r="I45" s="31"/>
      <c r="J45" s="33"/>
    </row>
    <row r="46" spans="1:10" x14ac:dyDescent="0.2">
      <c r="A46" s="151" t="s">
        <v>23</v>
      </c>
      <c r="B46" s="152"/>
      <c r="C46" s="152"/>
      <c r="D46" s="152"/>
      <c r="E46" s="152"/>
      <c r="F46" s="152"/>
      <c r="G46" s="152"/>
      <c r="H46" s="152"/>
      <c r="I46" s="152"/>
      <c r="J46" s="153"/>
    </row>
    <row r="47" spans="1:10" x14ac:dyDescent="0.2">
      <c r="A47" s="4" t="str">
        <f>IF(Combustion!I31=" "," ",Combustion!H31)</f>
        <v>Benzene</v>
      </c>
      <c r="B47" s="52">
        <f>IF(Combustion!I31&gt;0,Combustion!I31," ")</f>
        <v>4.45E-3</v>
      </c>
      <c r="C47" s="61" t="str">
        <f>IF(Combustion!I31=" "," ",Combustion!J31)</f>
        <v>lb/MMBtu</v>
      </c>
      <c r="D47" s="93" t="str">
        <f>IF(Combustion!I31&gt;0,Combustion!K31," ")</f>
        <v>WebFIRE</v>
      </c>
      <c r="E47" s="56"/>
      <c r="F47" s="33">
        <f>IF(Combustion!I31=" "," ",$D$33*B47)</f>
        <v>0</v>
      </c>
      <c r="G47" s="29"/>
      <c r="H47" s="56"/>
      <c r="I47" s="29" t="str">
        <f>IF(Combustion!I31=" "," ",IF('Permit Limits'!$B$12&gt;0,'Permit Limits'!$B$12," "))</f>
        <v xml:space="preserve"> </v>
      </c>
      <c r="J47" s="57">
        <f>IF(Combustion!I31=" "," ",IF('Permit Limits'!$C$12&gt;0,'Permit Limits'!$C$12,IF('Permit Limits'!$B$17&gt;0,'Permit Limits'!$B$17*B47/2000,IF('Permit Limits'!$B$19&gt;0,'Permit Limits'!$I$19*B47/2000,IF('Permit Limits'!$B$21&gt;0,IF('Permit Limits'!$B$12&gt;0,('Permit Limits'!$B$12*'Permit Limits'!$B$21/2000),'Permit Limits'!$B$21*$D$33*B47/2000),IF('Permit Limits'!$B$12&gt;0,'Permit Limits'!$B$12*8760/2000,IF('Permit Limits'!C8=99,B47*73333.33/2000,F47*8760/2000)))))))</f>
        <v>0</v>
      </c>
    </row>
    <row r="48" spans="1:10" ht="14.25" customHeight="1" x14ac:dyDescent="0.2">
      <c r="A48" s="4" t="str">
        <f>IF(Combustion!I32=" "," ",Combustion!H32)</f>
        <v>Formaldehyde</v>
      </c>
      <c r="B48" s="52">
        <f>IF(Combustion!I32&gt;0,Combustion!I32," ")</f>
        <v>5.4000000000000003E-3</v>
      </c>
      <c r="C48" s="61" t="str">
        <f>IF(Combustion!I32=" "," ",Combustion!J32)</f>
        <v>lb/MMBtu</v>
      </c>
      <c r="D48" s="93" t="str">
        <f>IF(Combustion!I32&gt;0,Combustion!K32," ")</f>
        <v>WebFIRE</v>
      </c>
      <c r="E48" s="56"/>
      <c r="F48" s="33">
        <f>IF(Combustion!I32=" "," ",$D$33*B48)</f>
        <v>0</v>
      </c>
      <c r="G48" s="29"/>
      <c r="H48" s="56"/>
      <c r="I48" s="29" t="str">
        <f>IF(Combustion!I32=" "," ",IF('Permit Limits'!$B$12&gt;0,'Permit Limits'!$B$12," "))</f>
        <v xml:space="preserve"> </v>
      </c>
      <c r="J48" s="57">
        <f>IF(Combustion!I32=" "," ",IF('Permit Limits'!$C$12&gt;0,'Permit Limits'!$C$12,IF('Permit Limits'!$B$17&gt;0,'Permit Limits'!$B$17*B48/2000,IF('Permit Limits'!$B$19&gt;0,'Permit Limits'!$I$19*B48/2000,IF('Permit Limits'!$B$21&gt;0,IF('Permit Limits'!$B$12&gt;0,('Permit Limits'!$B$12*'Permit Limits'!$B$21/2000),'Permit Limits'!$B$21*$D$33*B48/2000),IF('Permit Limits'!$B$12&gt;0,'Permit Limits'!$B$12*8760/2000,IF('Permit Limits'!C8=99,B48*73333.33/2000,F48*8760/2000)))))))</f>
        <v>0</v>
      </c>
    </row>
    <row r="49" spans="1:10" x14ac:dyDescent="0.2">
      <c r="A49" s="4" t="str">
        <f>IF(Combustion!I33=" "," ",Combustion!H33)</f>
        <v>Toluene</v>
      </c>
      <c r="B49" s="52">
        <f>IF(Combustion!I33&gt;0,Combustion!I33," ")</f>
        <v>5.2300000000000003E-3</v>
      </c>
      <c r="C49" s="61" t="str">
        <f>IF(Combustion!I33=" "," ",Combustion!J33)</f>
        <v>lb/MMBtu</v>
      </c>
      <c r="D49" s="93" t="str">
        <f>IF(Combustion!I33&gt;0,Combustion!K33," ")</f>
        <v>WebFIRE</v>
      </c>
      <c r="E49" s="56"/>
      <c r="F49" s="33">
        <f>IF(Combustion!I33=" "," ",$D$33*B49)</f>
        <v>0</v>
      </c>
      <c r="G49" s="29"/>
      <c r="H49" s="56"/>
      <c r="I49" s="29" t="str">
        <f>IF(Combustion!I33=" "," ",IF('Permit Limits'!$B$12&gt;0,'Permit Limits'!$B$12," "))</f>
        <v xml:space="preserve"> </v>
      </c>
      <c r="J49" s="57">
        <f>IF(Combustion!I33=" "," ",IF('Permit Limits'!$C$12&gt;0,'Permit Limits'!$C$12,IF('Permit Limits'!$B$17&gt;0,'Permit Limits'!$B$17*B49/2000,IF('Permit Limits'!$B$19&gt;0,'Permit Limits'!$I$19*B49/2000,IF('Permit Limits'!$B$21&gt;0,IF('Permit Limits'!$B$12&gt;0,('Permit Limits'!$B$12*'Permit Limits'!$B$21/2000),'Permit Limits'!$B$21*$D$33*B49/2000),IF('Permit Limits'!$B$12&gt;0,'Permit Limits'!$B$12*8760/2000,IF('Permit Limits'!C8=99,B49*73333.33/2000,F49*8760/2000)))))))</f>
        <v>0</v>
      </c>
    </row>
    <row r="50" spans="1:10" x14ac:dyDescent="0.2">
      <c r="A50" s="4" t="str">
        <f>IF(Combustion!I34=" "," ",Combustion!H34)</f>
        <v>Naphthalene</v>
      </c>
      <c r="B50" s="52">
        <f>IF(Combustion!I34&gt;0,Combustion!I34," ")</f>
        <v>1.4E-3</v>
      </c>
      <c r="C50" s="61" t="str">
        <f>IF(Combustion!I34=" "," ",Combustion!J34)</f>
        <v>lb/MMBtu</v>
      </c>
      <c r="D50" s="93" t="str">
        <f>IF(Combustion!I34&gt;0,Combustion!K34," ")</f>
        <v>WebFIRE</v>
      </c>
      <c r="E50" s="56"/>
      <c r="F50" s="33">
        <f>IF(Combustion!I34=" "," ",$D$33*B50)</f>
        <v>0</v>
      </c>
      <c r="G50" s="29"/>
      <c r="H50" s="56"/>
      <c r="I50" s="29"/>
      <c r="J50" s="57">
        <f>IF(Combustion!I34=" "," ",IF('Permit Limits'!$C$12&gt;0,'Permit Limits'!$C$12,IF('Permit Limits'!$B$17&gt;0,'Permit Limits'!$B$17*B50/2000,IF('Permit Limits'!$B$19&gt;0,'Permit Limits'!$I$19*B50/2000,IF('Permit Limits'!$B$21&gt;0,IF('Permit Limits'!$B$12&gt;0,('Permit Limits'!$B$12*'Permit Limits'!$B$21/2000),'Permit Limits'!$B$21*$D$33*B50/2000),IF('Permit Limits'!$B$12&gt;0,'Permit Limits'!$B$12*8760/2000,IF('Permit Limits'!C8=99,B50*73333.33/2000,F50*8760/2000)))))))</f>
        <v>0</v>
      </c>
    </row>
    <row r="51" spans="1:10" x14ac:dyDescent="0.2">
      <c r="A51" s="4" t="str">
        <f>IF(Combustion!I35=" "," ",Combustion!H35)</f>
        <v>Xylene</v>
      </c>
      <c r="B51" s="52">
        <f>IF(Combustion!I35&gt;0,Combustion!I35," ")</f>
        <v>1.2999999999999999E-3</v>
      </c>
      <c r="C51" s="61" t="str">
        <f>IF(Combustion!I35=" "," ",Combustion!J35)</f>
        <v>lb/MMBtu</v>
      </c>
      <c r="D51" s="93" t="str">
        <f>IF(Combustion!I35&gt;0,Combustion!K35," ")</f>
        <v>WebFIRE</v>
      </c>
      <c r="E51" s="56"/>
      <c r="F51" s="33">
        <f>IF(Combustion!I35=" "," ",$D$33*B51)</f>
        <v>0</v>
      </c>
      <c r="G51" s="29"/>
      <c r="H51" s="56"/>
      <c r="I51" s="29"/>
      <c r="J51" s="57">
        <f>IF(Combustion!I35=" "," ",IF('Permit Limits'!$C$12&gt;0,'Permit Limits'!$C$12,IF('Permit Limits'!$B$17&gt;0,'Permit Limits'!$B$17*B51/2000,IF('Permit Limits'!$B$19&gt;0,'Permit Limits'!$I$19*B51/2000,IF('Permit Limits'!$B$21&gt;0,IF('Permit Limits'!$B$12&gt;0,('Permit Limits'!$B$12*'Permit Limits'!$B$21/2000),'Permit Limits'!$B$21*$D$33*B51/2000),IF('Permit Limits'!$B$12&gt;0,'Permit Limits'!$B$12*8760/2000,IF('Permit Limits'!C8=99,B51*73333.33/2000,F51*8760/2000)))))))</f>
        <v>0</v>
      </c>
    </row>
    <row r="52" spans="1:10" x14ac:dyDescent="0.2">
      <c r="A52" s="107" t="s">
        <v>111</v>
      </c>
    </row>
    <row r="53" spans="1:10" x14ac:dyDescent="0.2">
      <c r="A53" s="107"/>
    </row>
  </sheetData>
  <sheetProtection password="DC15" sheet="1"/>
  <mergeCells count="26">
    <mergeCell ref="A9:J9"/>
    <mergeCell ref="D4:J4"/>
    <mergeCell ref="A5:C5"/>
    <mergeCell ref="D5:J5"/>
    <mergeCell ref="A6:C6"/>
    <mergeCell ref="D6:J6"/>
    <mergeCell ref="I7:J7"/>
    <mergeCell ref="A46:J46"/>
    <mergeCell ref="A31:C31"/>
    <mergeCell ref="A32:C32"/>
    <mergeCell ref="A33:C33"/>
    <mergeCell ref="A20:J20"/>
    <mergeCell ref="A35:J35"/>
    <mergeCell ref="D32:J32"/>
    <mergeCell ref="D31:J31"/>
    <mergeCell ref="A29:H29"/>
    <mergeCell ref="A30:C30"/>
    <mergeCell ref="D30:J30"/>
    <mergeCell ref="D33:E33"/>
    <mergeCell ref="F33:H33"/>
    <mergeCell ref="I33:J33"/>
    <mergeCell ref="A3:H3"/>
    <mergeCell ref="A7:C7"/>
    <mergeCell ref="D7:E7"/>
    <mergeCell ref="F7:H7"/>
    <mergeCell ref="A4:C4"/>
  </mergeCells>
  <phoneticPr fontId="5" type="noConversion"/>
  <pageMargins left="0.5" right="0.5" top="1" bottom="1" header="0.5" footer="0.5"/>
  <pageSetup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zoomScale="115" workbookViewId="0"/>
  </sheetViews>
  <sheetFormatPr defaultRowHeight="12.75" x14ac:dyDescent="0.2"/>
  <cols>
    <col min="1" max="1" width="11.42578125" customWidth="1"/>
    <col min="2" max="2" width="10.5703125" customWidth="1"/>
    <col min="3" max="3" width="9.5703125" customWidth="1"/>
    <col min="4" max="4" width="20.85546875" customWidth="1"/>
    <col min="5" max="5" width="6.28515625" customWidth="1"/>
    <col min="7" max="7" width="9.5703125" customWidth="1"/>
    <col min="8" max="8" width="7.5703125" customWidth="1"/>
    <col min="9" max="9" width="8.5703125" customWidth="1"/>
    <col min="10" max="10" width="4.5703125" customWidth="1"/>
  </cols>
  <sheetData>
    <row r="1" spans="1:11" x14ac:dyDescent="0.2">
      <c r="A1" s="123" t="s">
        <v>94</v>
      </c>
    </row>
    <row r="2" spans="1:11" ht="9.75" customHeight="1" x14ac:dyDescent="0.2"/>
    <row r="3" spans="1:11" ht="15.75" x14ac:dyDescent="0.25">
      <c r="A3" s="179" t="s">
        <v>127</v>
      </c>
      <c r="B3" s="180"/>
      <c r="C3" s="180"/>
      <c r="D3" s="180"/>
      <c r="E3" s="180"/>
      <c r="F3" s="180"/>
      <c r="G3" s="180"/>
      <c r="H3" s="180"/>
      <c r="I3" s="32"/>
      <c r="J3" s="32"/>
    </row>
    <row r="4" spans="1:11" x14ac:dyDescent="0.2">
      <c r="A4" s="170" t="s">
        <v>128</v>
      </c>
      <c r="B4" s="170"/>
      <c r="C4" s="170"/>
      <c r="D4" s="183" t="str">
        <f>Combustion!G10</f>
        <v xml:space="preserve"> </v>
      </c>
      <c r="E4" s="183"/>
      <c r="F4" s="183"/>
      <c r="G4" s="183"/>
      <c r="H4" s="183"/>
      <c r="I4" s="183"/>
      <c r="J4" s="183"/>
      <c r="K4" s="32"/>
    </row>
    <row r="5" spans="1:11" x14ac:dyDescent="0.2">
      <c r="A5" s="148" t="s">
        <v>129</v>
      </c>
      <c r="B5" s="181"/>
      <c r="C5" s="182"/>
      <c r="D5" s="155" t="e">
        <f>Combustion!A12</f>
        <v>#N/A</v>
      </c>
      <c r="E5" s="156"/>
      <c r="F5" s="156"/>
      <c r="G5" s="156"/>
      <c r="H5" s="156"/>
      <c r="I5" s="156"/>
      <c r="J5" s="157"/>
      <c r="K5" s="32"/>
    </row>
    <row r="6" spans="1:11" x14ac:dyDescent="0.2">
      <c r="A6" s="172" t="s">
        <v>131</v>
      </c>
      <c r="B6" s="173"/>
      <c r="C6" s="154"/>
      <c r="D6" s="174">
        <f>Combustion!E10</f>
        <v>0</v>
      </c>
      <c r="E6" s="175"/>
      <c r="F6" s="148" t="s">
        <v>134</v>
      </c>
      <c r="G6" s="150"/>
      <c r="H6" s="176" t="str">
        <f>Combustion!F10</f>
        <v>MMBtu/yr</v>
      </c>
      <c r="I6" s="177"/>
      <c r="J6" s="178"/>
    </row>
    <row r="7" spans="1:11" x14ac:dyDescent="0.2">
      <c r="A7" s="170" t="s">
        <v>130</v>
      </c>
      <c r="B7" s="170"/>
      <c r="C7" s="170"/>
      <c r="D7" s="171" t="e">
        <f>Combustion!A13</f>
        <v>#N/A</v>
      </c>
      <c r="E7" s="171"/>
      <c r="F7" s="171"/>
      <c r="G7" s="171"/>
      <c r="H7" s="171"/>
      <c r="I7" s="171"/>
      <c r="J7" s="171"/>
      <c r="K7" s="105"/>
    </row>
    <row r="8" spans="1:11" x14ac:dyDescent="0.2">
      <c r="A8" s="10"/>
      <c r="B8" s="10"/>
      <c r="C8" s="10"/>
      <c r="D8" s="11"/>
      <c r="E8" s="9"/>
      <c r="F8" s="10"/>
      <c r="G8" s="10"/>
      <c r="H8" s="7"/>
      <c r="I8" s="8"/>
      <c r="J8" s="8"/>
    </row>
    <row r="9" spans="1:11" x14ac:dyDescent="0.2">
      <c r="A9" s="151" t="s">
        <v>92</v>
      </c>
      <c r="B9" s="152"/>
      <c r="C9" s="152"/>
      <c r="D9" s="152"/>
      <c r="E9" s="152"/>
      <c r="F9" s="152"/>
      <c r="G9" s="152"/>
      <c r="H9" s="152"/>
      <c r="I9" s="152"/>
      <c r="J9" s="150"/>
    </row>
    <row r="10" spans="1:11" x14ac:dyDescent="0.2">
      <c r="A10" s="3">
        <v>25</v>
      </c>
      <c r="B10" s="3">
        <v>26</v>
      </c>
      <c r="C10" s="3">
        <v>27</v>
      </c>
      <c r="D10" s="3">
        <v>28</v>
      </c>
      <c r="E10" s="3">
        <v>29</v>
      </c>
      <c r="F10" s="166">
        <v>30</v>
      </c>
      <c r="G10" s="167"/>
      <c r="H10" s="3">
        <v>31</v>
      </c>
      <c r="I10" s="166">
        <v>32</v>
      </c>
      <c r="J10" s="167"/>
    </row>
    <row r="11" spans="1:11" ht="27.75" customHeight="1" x14ac:dyDescent="0.2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168" t="s">
        <v>11</v>
      </c>
      <c r="G11" s="169"/>
      <c r="H11" s="4" t="s">
        <v>12</v>
      </c>
      <c r="I11" s="168" t="s">
        <v>25</v>
      </c>
      <c r="J11" s="169"/>
    </row>
    <row r="12" spans="1:11" x14ac:dyDescent="0.2">
      <c r="A12" s="47" t="s">
        <v>15</v>
      </c>
      <c r="B12" s="48" t="str">
        <f>IF(Combustion!I10&gt;0,Combustion!I10," ")</f>
        <v xml:space="preserve"> </v>
      </c>
      <c r="C12" s="48" t="str">
        <f>IF(Combustion!I10=" "," ",Combustion!J10)</f>
        <v xml:space="preserve"> </v>
      </c>
      <c r="D12" s="49" t="str">
        <f>IF(Combustion!I10&gt;0,Combustion!K10," ")</f>
        <v xml:space="preserve"> </v>
      </c>
      <c r="E12" s="120"/>
      <c r="F12" s="162"/>
      <c r="G12" s="162"/>
      <c r="H12" s="120"/>
      <c r="I12" s="160" t="str">
        <f>IF(Combustion!I10=" "," ",$D$6*B12/2000)</f>
        <v xml:space="preserve"> </v>
      </c>
      <c r="J12" s="160"/>
    </row>
    <row r="13" spans="1:11" x14ac:dyDescent="0.2">
      <c r="A13" s="47" t="s">
        <v>16</v>
      </c>
      <c r="B13" s="48" t="str">
        <f>IF(Combustion!I11&gt;0,Combustion!I11," ")</f>
        <v xml:space="preserve"> </v>
      </c>
      <c r="C13" s="48" t="str">
        <f>IF(Combustion!I11=" "," ",Combustion!J11)</f>
        <v xml:space="preserve"> </v>
      </c>
      <c r="D13" s="49" t="str">
        <f>IF(Combustion!I11&gt;0,Combustion!K11," ")</f>
        <v xml:space="preserve"> </v>
      </c>
      <c r="E13" s="120"/>
      <c r="F13" s="162"/>
      <c r="G13" s="162"/>
      <c r="H13" s="120"/>
      <c r="I13" s="160" t="str">
        <f>IF(Combustion!I11=" "," ",$D$6*B13/2000)</f>
        <v xml:space="preserve"> </v>
      </c>
      <c r="J13" s="160"/>
    </row>
    <row r="14" spans="1:11" x14ac:dyDescent="0.2">
      <c r="A14" s="47" t="s">
        <v>17</v>
      </c>
      <c r="B14" s="48" t="str">
        <f>IF(Combustion!I12&gt;0,Combustion!I12," ")</f>
        <v xml:space="preserve"> </v>
      </c>
      <c r="C14" s="48" t="str">
        <f>IF(Combustion!I12=" "," ",Combustion!J12)</f>
        <v xml:space="preserve"> </v>
      </c>
      <c r="D14" s="49" t="str">
        <f>IF(Combustion!I12&gt;0,Combustion!K12," ")</f>
        <v xml:space="preserve"> </v>
      </c>
      <c r="E14" s="54" t="str">
        <f>IF(Combustion!B10="Diesel Fuel Combustion ≤ 600 bhp","",IF(Combustion!B10="","",IF(Combustion!C11&lt;'Permit Limits'!B20,Combustion!C11,IF('Permit Limits'!B20&gt;0,'Permit Limits'!B20,IF(Combustion!C11&gt;0.5,0.5,IF(Combustion!C11&gt;0,Combustion!C11,0.5))))))</f>
        <v/>
      </c>
      <c r="F14" s="162"/>
      <c r="G14" s="162"/>
      <c r="H14" s="120"/>
      <c r="I14" s="160" t="str">
        <f>IF(Combustion!I12=" "," ",IF(Combustion!C11&gt;0,$D$6*E14*B14/2000,D6*B14/2000))</f>
        <v xml:space="preserve"> </v>
      </c>
      <c r="J14" s="160"/>
    </row>
    <row r="15" spans="1:11" x14ac:dyDescent="0.2">
      <c r="A15" s="47" t="s">
        <v>18</v>
      </c>
      <c r="B15" s="48" t="str">
        <f>IF(Combustion!I13&gt;0,Combustion!I13," ")</f>
        <v xml:space="preserve"> </v>
      </c>
      <c r="C15" s="48" t="str">
        <f>IF(Combustion!I13=" "," ",Combustion!J13)</f>
        <v xml:space="preserve"> </v>
      </c>
      <c r="D15" s="49" t="str">
        <f>IF(Combustion!I13&gt;0,Combustion!K13," ")</f>
        <v xml:space="preserve"> </v>
      </c>
      <c r="E15" s="55"/>
      <c r="F15" s="162"/>
      <c r="G15" s="162"/>
      <c r="H15" s="55"/>
      <c r="I15" s="160" t="str">
        <f>IF(Combustion!I13=" "," ",$D$6*B15/2000)</f>
        <v xml:space="preserve"> </v>
      </c>
      <c r="J15" s="160"/>
    </row>
    <row r="16" spans="1:11" x14ac:dyDescent="0.2">
      <c r="A16" s="47" t="s">
        <v>19</v>
      </c>
      <c r="B16" s="48" t="str">
        <f>IF(Combustion!I14&gt;0,Combustion!I14," ")</f>
        <v xml:space="preserve"> </v>
      </c>
      <c r="C16" s="48" t="str">
        <f>IF(Combustion!I14=" "," ",Combustion!J14)</f>
        <v xml:space="preserve"> </v>
      </c>
      <c r="D16" s="49" t="str">
        <f>IF(Combustion!I14&gt;0,Combustion!K14," ")</f>
        <v xml:space="preserve"> </v>
      </c>
      <c r="E16" s="55"/>
      <c r="F16" s="162"/>
      <c r="G16" s="162"/>
      <c r="H16" s="55"/>
      <c r="I16" s="160" t="str">
        <f>IF(Combustion!I14=" "," ",$D$6*B16/2000)</f>
        <v xml:space="preserve"> </v>
      </c>
      <c r="J16" s="160"/>
    </row>
    <row r="17" spans="1:10" x14ac:dyDescent="0.2">
      <c r="A17" s="47" t="s">
        <v>20</v>
      </c>
      <c r="B17" s="48" t="str">
        <f>IF(Combustion!I15&gt;0,Combustion!I15," ")</f>
        <v xml:space="preserve"> </v>
      </c>
      <c r="C17" s="48" t="str">
        <f>IF(Combustion!I15=" "," ",Combustion!J15)</f>
        <v xml:space="preserve"> </v>
      </c>
      <c r="D17" s="49" t="str">
        <f>IF(Combustion!I15&gt;0,Combustion!K15," ")</f>
        <v xml:space="preserve"> </v>
      </c>
      <c r="E17" s="55"/>
      <c r="F17" s="162"/>
      <c r="G17" s="162"/>
      <c r="H17" s="55"/>
      <c r="I17" s="160" t="str">
        <f>IF(Combustion!I15=" "," ",$D$6*B17/2000)</f>
        <v xml:space="preserve"> </v>
      </c>
      <c r="J17" s="160"/>
    </row>
    <row r="18" spans="1:10" x14ac:dyDescent="0.2">
      <c r="A18" s="47" t="s">
        <v>21</v>
      </c>
      <c r="B18" s="48"/>
      <c r="C18" s="48"/>
      <c r="D18" s="49"/>
      <c r="E18" s="55"/>
      <c r="F18" s="162"/>
      <c r="G18" s="162"/>
      <c r="H18" s="55"/>
      <c r="I18" s="160"/>
      <c r="J18" s="160"/>
    </row>
    <row r="19" spans="1:10" x14ac:dyDescent="0.2">
      <c r="A19" s="50" t="s">
        <v>22</v>
      </c>
      <c r="E19" s="55"/>
      <c r="F19" s="162"/>
      <c r="G19" s="162"/>
      <c r="H19" s="55"/>
      <c r="I19" s="161"/>
      <c r="J19" s="161"/>
    </row>
    <row r="20" spans="1:10" ht="12" customHeight="1" x14ac:dyDescent="0.2">
      <c r="A20" s="163" t="s">
        <v>132</v>
      </c>
      <c r="B20" s="164"/>
      <c r="C20" s="164"/>
      <c r="D20" s="164"/>
      <c r="E20" s="164"/>
      <c r="F20" s="164"/>
      <c r="G20" s="164"/>
      <c r="H20" s="164"/>
      <c r="I20" s="164"/>
      <c r="J20" s="165"/>
    </row>
    <row r="21" spans="1:10" ht="14.25" customHeight="1" x14ac:dyDescent="0.2">
      <c r="A21" s="94" t="str">
        <f>IF(Combustion!I16=" "," ",Combustion!H16)</f>
        <v xml:space="preserve"> </v>
      </c>
      <c r="B21" s="48" t="str">
        <f>IF(Combustion!I16&gt;0,Combustion!I16," ")</f>
        <v xml:space="preserve"> </v>
      </c>
      <c r="C21" s="48" t="str">
        <f>IF(Combustion!I15=" "," ",Combustion!J15)</f>
        <v xml:space="preserve"> </v>
      </c>
      <c r="D21" s="49" t="str">
        <f>IF(Combustion!I16&gt;0,Combustion!K16," ")</f>
        <v xml:space="preserve"> </v>
      </c>
      <c r="E21" s="55"/>
      <c r="F21" s="162"/>
      <c r="G21" s="162"/>
      <c r="H21" s="55"/>
      <c r="I21" s="160" t="str">
        <f>IF(Combustion!I16=" "," ",$D$6*B21/2000)</f>
        <v xml:space="preserve"> </v>
      </c>
      <c r="J21" s="160"/>
    </row>
    <row r="22" spans="1:10" ht="15" customHeight="1" x14ac:dyDescent="0.2">
      <c r="A22" s="94" t="str">
        <f>IF(Combustion!I17=" "," ",Combustion!H17)</f>
        <v xml:space="preserve"> </v>
      </c>
      <c r="B22" s="48" t="str">
        <f>IF(Combustion!I17&gt;0,Combustion!I17," ")</f>
        <v xml:space="preserve"> </v>
      </c>
      <c r="C22" s="48" t="str">
        <f>IF(Combustion!I16=" "," ",Combustion!J16)</f>
        <v xml:space="preserve"> </v>
      </c>
      <c r="D22" s="49" t="str">
        <f>IF(Combustion!I17&gt;0,Combustion!K17," ")</f>
        <v xml:space="preserve"> </v>
      </c>
      <c r="E22" s="55"/>
      <c r="F22" s="162"/>
      <c r="G22" s="162"/>
      <c r="H22" s="55"/>
      <c r="I22" s="160" t="str">
        <f>IF(Combustion!I17=" "," ",$D$6*B22/2000)</f>
        <v xml:space="preserve"> </v>
      </c>
      <c r="J22" s="160"/>
    </row>
    <row r="23" spans="1:10" ht="15" customHeight="1" x14ac:dyDescent="0.2">
      <c r="A23" s="94" t="str">
        <f>IF(Combustion!I18=" "," ",Combustion!H18)</f>
        <v xml:space="preserve"> </v>
      </c>
      <c r="B23" s="48" t="str">
        <f>IF(Combustion!I18&gt;0,Combustion!I18," ")</f>
        <v xml:space="preserve"> </v>
      </c>
      <c r="C23" s="48" t="str">
        <f>IF(Combustion!I17=" "," ",Combustion!J17)</f>
        <v xml:space="preserve"> </v>
      </c>
      <c r="D23" s="49" t="str">
        <f>IF(Combustion!I18&gt;0,Combustion!K17," ")</f>
        <v xml:space="preserve"> </v>
      </c>
      <c r="E23" s="55"/>
      <c r="F23" s="162"/>
      <c r="G23" s="162"/>
      <c r="H23" s="55"/>
      <c r="I23" s="160" t="str">
        <f>IF(Combustion!I18=" "," ",$D$6*B23/2000)</f>
        <v xml:space="preserve"> </v>
      </c>
      <c r="J23" s="160"/>
    </row>
    <row r="24" spans="1:10" ht="15.75" customHeight="1" x14ac:dyDescent="0.2">
      <c r="A24" s="94" t="str">
        <f>IF(Combustion!I19=" "," ",Combustion!H19)</f>
        <v xml:space="preserve"> </v>
      </c>
      <c r="B24" s="48" t="str">
        <f>IF(Combustion!I19&gt;0,Combustion!I19," ")</f>
        <v xml:space="preserve"> </v>
      </c>
      <c r="C24" s="48" t="str">
        <f>IF(Combustion!I18=" "," ",Combustion!J18)</f>
        <v xml:space="preserve"> </v>
      </c>
      <c r="D24" s="49" t="str">
        <f>IF(Combustion!I19&gt;0,Combustion!K18," ")</f>
        <v xml:space="preserve"> </v>
      </c>
      <c r="E24" s="55"/>
      <c r="F24" s="162"/>
      <c r="G24" s="162"/>
      <c r="H24" s="55"/>
      <c r="I24" s="160" t="str">
        <f>IF(Combustion!I19=" "," ",$D$6*B24/2000)</f>
        <v xml:space="preserve"> </v>
      </c>
      <c r="J24" s="160"/>
    </row>
    <row r="25" spans="1:10" x14ac:dyDescent="0.2">
      <c r="A25" s="94" t="str">
        <f>IF(Combustion!I20=" "," ",Combustion!H20)</f>
        <v xml:space="preserve"> </v>
      </c>
      <c r="B25" s="48" t="str">
        <f>IF(Combustion!I20&gt;0,Combustion!I20," ")</f>
        <v xml:space="preserve"> </v>
      </c>
      <c r="C25" s="48" t="str">
        <f>IF(Combustion!I19=" "," ",Combustion!J19)</f>
        <v xml:space="preserve"> </v>
      </c>
      <c r="D25" s="49" t="str">
        <f>IF(Combustion!I20&gt;0,Combustion!K19," ")</f>
        <v xml:space="preserve"> </v>
      </c>
      <c r="E25" s="55"/>
      <c r="F25" s="162"/>
      <c r="G25" s="162"/>
      <c r="H25" s="55"/>
      <c r="I25" s="160" t="str">
        <f>IF(Combustion!I20=" "," ",$D$6*B25/2000)</f>
        <v xml:space="preserve"> </v>
      </c>
      <c r="J25" s="160"/>
    </row>
    <row r="26" spans="1:10" ht="15.75" customHeight="1" x14ac:dyDescent="0.2">
      <c r="A26" s="94" t="str">
        <f>IF(Combustion!I21=" "," ",Combustion!H21)</f>
        <v xml:space="preserve"> </v>
      </c>
      <c r="B26" s="48" t="str">
        <f>IF(Combustion!I21&gt;0,Combustion!I21," ")</f>
        <v xml:space="preserve"> </v>
      </c>
      <c r="C26" s="48" t="str">
        <f>IF(Combustion!I20=" "," ",Combustion!J20)</f>
        <v xml:space="preserve"> </v>
      </c>
      <c r="D26" s="49" t="str">
        <f>IF(Combustion!I21&gt;0,Combustion!K20," ")</f>
        <v xml:space="preserve"> </v>
      </c>
      <c r="E26" s="55"/>
      <c r="F26" s="162"/>
      <c r="G26" s="162"/>
      <c r="H26" s="55"/>
      <c r="I26" s="160" t="str">
        <f>IF(Combustion!I21=" "," ",$D$6*B26/2000)</f>
        <v xml:space="preserve"> </v>
      </c>
      <c r="J26" s="160"/>
    </row>
    <row r="27" spans="1:10" ht="12.75" customHeight="1" x14ac:dyDescent="0.2">
      <c r="A27" s="94" t="str">
        <f>IF(Combustion!I22=" "," ",Combustion!H22)</f>
        <v xml:space="preserve"> </v>
      </c>
      <c r="B27" s="48" t="str">
        <f>IF(Combustion!I22&gt;0,Combustion!I22," ")</f>
        <v xml:space="preserve"> </v>
      </c>
      <c r="C27" s="48" t="str">
        <f>IF(Combustion!I21=" "," ",Combustion!J21)</f>
        <v xml:space="preserve"> </v>
      </c>
      <c r="D27" s="49" t="str">
        <f>IF(Combustion!I22&gt;0,Combustion!K21," ")</f>
        <v xml:space="preserve"> </v>
      </c>
      <c r="E27" s="55"/>
      <c r="F27" s="184"/>
      <c r="G27" s="185"/>
      <c r="H27" s="55"/>
      <c r="I27" s="160" t="str">
        <f>IF(Combustion!I22=" "," ",$D$6*B27/2000)</f>
        <v xml:space="preserve"> </v>
      </c>
      <c r="J27" s="160"/>
    </row>
    <row r="30" spans="1:10" ht="15.75" x14ac:dyDescent="0.25">
      <c r="A30" s="179" t="s">
        <v>127</v>
      </c>
      <c r="B30" s="180"/>
      <c r="C30" s="180"/>
      <c r="D30" s="180"/>
      <c r="E30" s="180"/>
      <c r="F30" s="180"/>
      <c r="G30" s="180"/>
      <c r="H30" s="180"/>
      <c r="I30" s="32"/>
      <c r="J30" s="32"/>
    </row>
    <row r="31" spans="1:10" x14ac:dyDescent="0.2">
      <c r="A31" s="170" t="s">
        <v>128</v>
      </c>
      <c r="B31" s="170"/>
      <c r="C31" s="170"/>
      <c r="D31" s="183">
        <f>Combustion!G25</f>
        <v>20200402</v>
      </c>
      <c r="E31" s="183"/>
      <c r="F31" s="183"/>
      <c r="G31" s="183"/>
      <c r="H31" s="183"/>
      <c r="I31" s="183"/>
      <c r="J31" s="183"/>
    </row>
    <row r="32" spans="1:10" x14ac:dyDescent="0.2">
      <c r="A32" s="148" t="s">
        <v>129</v>
      </c>
      <c r="B32" s="181"/>
      <c r="C32" s="182"/>
      <c r="D32" s="155" t="str">
        <f>Combustion!B25</f>
        <v xml:space="preserve">Dual Fuel Combustion </v>
      </c>
      <c r="E32" s="156"/>
      <c r="F32" s="156"/>
      <c r="G32" s="156"/>
      <c r="H32" s="156"/>
      <c r="I32" s="156"/>
      <c r="J32" s="157"/>
    </row>
    <row r="33" spans="1:10" x14ac:dyDescent="0.2">
      <c r="A33" s="172" t="s">
        <v>131</v>
      </c>
      <c r="B33" s="173"/>
      <c r="C33" s="154"/>
      <c r="D33" s="174">
        <f>Combustion!E25</f>
        <v>0</v>
      </c>
      <c r="E33" s="175"/>
      <c r="F33" s="148" t="s">
        <v>134</v>
      </c>
      <c r="G33" s="150"/>
      <c r="H33" s="176" t="str">
        <f>Combustion!F25</f>
        <v>MMBtu/yr</v>
      </c>
      <c r="I33" s="177"/>
      <c r="J33" s="178"/>
    </row>
    <row r="34" spans="1:10" x14ac:dyDescent="0.2">
      <c r="A34" s="170" t="s">
        <v>130</v>
      </c>
      <c r="B34" s="170"/>
      <c r="C34" s="170"/>
      <c r="D34" s="171" t="str">
        <f>Combustion!A29</f>
        <v>Dual Fuel (95% Natural Gas, 5% Diesel Fuel)</v>
      </c>
      <c r="E34" s="171"/>
      <c r="F34" s="171"/>
      <c r="G34" s="171"/>
      <c r="H34" s="171"/>
      <c r="I34" s="171"/>
      <c r="J34" s="171"/>
    </row>
    <row r="35" spans="1:10" x14ac:dyDescent="0.2">
      <c r="A35" s="10"/>
      <c r="B35" s="10"/>
      <c r="C35" s="10"/>
      <c r="D35" s="11"/>
      <c r="E35" s="9"/>
      <c r="F35" s="10"/>
      <c r="G35" s="10"/>
      <c r="H35" s="7"/>
      <c r="I35" s="8"/>
      <c r="J35" s="8"/>
    </row>
    <row r="36" spans="1:10" x14ac:dyDescent="0.2">
      <c r="A36" s="151" t="s">
        <v>92</v>
      </c>
      <c r="B36" s="152"/>
      <c r="C36" s="152"/>
      <c r="D36" s="152"/>
      <c r="E36" s="152"/>
      <c r="F36" s="152"/>
      <c r="G36" s="152"/>
      <c r="H36" s="152"/>
      <c r="I36" s="152"/>
      <c r="J36" s="150"/>
    </row>
    <row r="37" spans="1:10" x14ac:dyDescent="0.2">
      <c r="A37" s="3">
        <v>25</v>
      </c>
      <c r="B37" s="3">
        <v>26</v>
      </c>
      <c r="C37" s="3">
        <v>27</v>
      </c>
      <c r="D37" s="3">
        <v>28</v>
      </c>
      <c r="E37" s="3">
        <v>29</v>
      </c>
      <c r="F37" s="166">
        <v>30</v>
      </c>
      <c r="G37" s="167"/>
      <c r="H37" s="3">
        <v>31</v>
      </c>
      <c r="I37" s="166">
        <v>32</v>
      </c>
      <c r="J37" s="167"/>
    </row>
    <row r="38" spans="1:10" ht="45" x14ac:dyDescent="0.2">
      <c r="A38" s="4" t="s">
        <v>5</v>
      </c>
      <c r="B38" s="4" t="s">
        <v>6</v>
      </c>
      <c r="C38" s="4" t="s">
        <v>7</v>
      </c>
      <c r="D38" s="4" t="s">
        <v>24</v>
      </c>
      <c r="E38" s="4" t="s">
        <v>9</v>
      </c>
      <c r="F38" s="168" t="s">
        <v>11</v>
      </c>
      <c r="G38" s="169"/>
      <c r="H38" s="4" t="s">
        <v>12</v>
      </c>
      <c r="I38" s="168" t="s">
        <v>25</v>
      </c>
      <c r="J38" s="169"/>
    </row>
    <row r="39" spans="1:10" x14ac:dyDescent="0.2">
      <c r="A39" s="47" t="s">
        <v>15</v>
      </c>
      <c r="B39" s="48">
        <f>IF(Combustion!I25&gt;0,Combustion!I25," ")</f>
        <v>5.5599999999999997E-2</v>
      </c>
      <c r="C39" s="30" t="str">
        <f>IF(Combustion!I25=" "," ",Combustion!J25)</f>
        <v>lb/MMBtu</v>
      </c>
      <c r="D39" s="49" t="str">
        <f>IF(Combustion!I25&gt;0,Combustion!K25," ")</f>
        <v>WebFIRE</v>
      </c>
      <c r="E39" s="120"/>
      <c r="F39" s="162"/>
      <c r="G39" s="162"/>
      <c r="H39" s="120"/>
      <c r="I39" s="160">
        <f>IF(Combustion!I25=" "," ",$D$33*B39/2000)</f>
        <v>0</v>
      </c>
      <c r="J39" s="160"/>
    </row>
    <row r="40" spans="1:10" x14ac:dyDescent="0.2">
      <c r="A40" s="47" t="s">
        <v>16</v>
      </c>
      <c r="B40" s="48">
        <f>IF(Combustion!I26&gt;0,Combustion!I26," ")</f>
        <v>5.7299999999999997E-2</v>
      </c>
      <c r="C40" s="30" t="str">
        <f>IF(Combustion!I26=" "," ",Combustion!J26)</f>
        <v>lb/MMBtu</v>
      </c>
      <c r="D40" s="49" t="str">
        <f>IF(Combustion!I26&gt;0,Combustion!K26," ")</f>
        <v>WebFIRE</v>
      </c>
      <c r="E40" s="120"/>
      <c r="F40" s="162"/>
      <c r="G40" s="162"/>
      <c r="H40" s="120"/>
      <c r="I40" s="160">
        <f>IF(Combustion!I26=" "," ",$D$33*B40/2000)</f>
        <v>0</v>
      </c>
      <c r="J40" s="160"/>
    </row>
    <row r="41" spans="1:10" x14ac:dyDescent="0.2">
      <c r="A41" s="47" t="s">
        <v>17</v>
      </c>
      <c r="B41" s="48">
        <f>IF(Combustion!I27&gt;0,Combustion!I27," ")</f>
        <v>0.05</v>
      </c>
      <c r="C41" s="30" t="str">
        <f>IF(Combustion!I27=" "," ",Combustion!J27)</f>
        <v>lb/MMBtu</v>
      </c>
      <c r="D41" s="49" t="str">
        <f>IF(Combustion!I27&gt;0,Combustion!K27," ")</f>
        <v>AP-42 Table 3.4-1</v>
      </c>
      <c r="E41" s="54">
        <f>IF(Combustion!B10="Diesel Fuel Combustion ≤ 600 bhp","",IF(Combustion!C26&lt;'Permit Limits'!B20,Combustion!C26,IF('Permit Limits'!B20&gt;0,'Permit Limits'!B20,IF(Combustion!C26&gt;0.5,0.5,IF(Combustion!C26&gt;0,Combustion!C26,0.5)))))</f>
        <v>0.5</v>
      </c>
      <c r="F41" s="162"/>
      <c r="G41" s="162"/>
      <c r="H41" s="55"/>
      <c r="I41" s="160">
        <f>IF(Combustion!I27=" "," ",IF(Combustion!C11&gt;0,$D$6*E41*B41/2000,D33*B41/2000))</f>
        <v>0</v>
      </c>
      <c r="J41" s="160"/>
    </row>
    <row r="42" spans="1:10" x14ac:dyDescent="0.2">
      <c r="A42" s="47" t="s">
        <v>18</v>
      </c>
      <c r="B42" s="48">
        <f>IF(Combustion!I28&gt;0,Combustion!I28," ")</f>
        <v>2.7</v>
      </c>
      <c r="C42" s="30" t="str">
        <f>IF(Combustion!I28=" "," ",Combustion!J28)</f>
        <v>lb/MMBtu</v>
      </c>
      <c r="D42" s="49" t="str">
        <f>IF(Combustion!I28&gt;0,Combustion!K28," ")</f>
        <v>AP-42 Table 3.4-1</v>
      </c>
      <c r="E42" s="55"/>
      <c r="F42" s="162"/>
      <c r="G42" s="162"/>
      <c r="H42" s="55"/>
      <c r="I42" s="160">
        <f>IF(Combustion!I28=" "," ",$D$33*B42/2000)</f>
        <v>0</v>
      </c>
      <c r="J42" s="160"/>
    </row>
    <row r="43" spans="1:10" x14ac:dyDescent="0.2">
      <c r="A43" s="47" t="s">
        <v>19</v>
      </c>
      <c r="B43" s="48">
        <f>IF(Combustion!I29&gt;0,Combustion!I29," ")</f>
        <v>0.2</v>
      </c>
      <c r="C43" s="30" t="str">
        <f>IF(Combustion!I29=" "," ",Combustion!J29)</f>
        <v>lb/MMBtu</v>
      </c>
      <c r="D43" s="49" t="str">
        <f>IF(Combustion!I29&gt;0,Combustion!K29," ")</f>
        <v>AP-42 Table 3.4-1</v>
      </c>
      <c r="E43" s="55"/>
      <c r="F43" s="162"/>
      <c r="G43" s="162"/>
      <c r="H43" s="55"/>
      <c r="I43" s="160">
        <f>IF(Combustion!I29=" "," ",$D$33*B43/2000)</f>
        <v>0</v>
      </c>
      <c r="J43" s="160"/>
    </row>
    <row r="44" spans="1:10" x14ac:dyDescent="0.2">
      <c r="A44" s="47" t="s">
        <v>20</v>
      </c>
      <c r="B44" s="48">
        <f>IF(Combustion!I30&gt;0,Combustion!I30," ")</f>
        <v>1.1599999999999999</v>
      </c>
      <c r="C44" s="30" t="str">
        <f>IF(Combustion!I30=" "," ",Combustion!J30)</f>
        <v>lb/MMBtu</v>
      </c>
      <c r="D44" s="49" t="str">
        <f>IF(Combustion!I30&gt;0,Combustion!K30," ")</f>
        <v>AP-42 Table 3.4-1</v>
      </c>
      <c r="E44" s="55"/>
      <c r="F44" s="162"/>
      <c r="G44" s="162"/>
      <c r="H44" s="55"/>
      <c r="I44" s="160">
        <f>IF(Combustion!I30=" "," ",$D$33*B44/2000)</f>
        <v>0</v>
      </c>
      <c r="J44" s="160"/>
    </row>
    <row r="45" spans="1:10" x14ac:dyDescent="0.2">
      <c r="A45" s="47" t="s">
        <v>21</v>
      </c>
      <c r="B45" s="48"/>
      <c r="C45" s="95"/>
      <c r="D45" s="49"/>
      <c r="E45" s="55"/>
      <c r="F45" s="162"/>
      <c r="G45" s="162"/>
      <c r="H45" s="55"/>
      <c r="I45" s="160"/>
      <c r="J45" s="160"/>
    </row>
    <row r="46" spans="1:10" x14ac:dyDescent="0.2">
      <c r="A46" s="50" t="s">
        <v>22</v>
      </c>
      <c r="B46" s="48" t="str">
        <f>IF(Combustion!I48&gt;0,Combustion!I48," ")</f>
        <v xml:space="preserve"> </v>
      </c>
      <c r="D46" s="49" t="str">
        <f>IF(Combustion!I48&gt;0,Combustion!K48," ")</f>
        <v xml:space="preserve"> </v>
      </c>
      <c r="E46" s="55"/>
      <c r="F46" s="162"/>
      <c r="G46" s="162"/>
      <c r="H46" s="55"/>
      <c r="I46" s="161"/>
      <c r="J46" s="161"/>
    </row>
    <row r="47" spans="1:10" x14ac:dyDescent="0.2">
      <c r="A47" s="163" t="s">
        <v>132</v>
      </c>
      <c r="B47" s="164"/>
      <c r="C47" s="164"/>
      <c r="D47" s="164"/>
      <c r="E47" s="164"/>
      <c r="F47" s="164"/>
      <c r="G47" s="164"/>
      <c r="H47" s="164"/>
      <c r="I47" s="164"/>
      <c r="J47" s="165"/>
    </row>
    <row r="48" spans="1:10" x14ac:dyDescent="0.2">
      <c r="A48" s="94" t="str">
        <f>IF(Combustion!I31=" "," ",Combustion!H31)</f>
        <v>Benzene</v>
      </c>
      <c r="B48" s="48">
        <f>IF(Combustion!I31&gt;0,Combustion!I31," ")</f>
        <v>4.45E-3</v>
      </c>
      <c r="C48" s="30" t="str">
        <f>IF(Combustion!I31=" "," ",Combustion!J31)</f>
        <v>lb/MMBtu</v>
      </c>
      <c r="D48" s="49" t="str">
        <f>IF(Combustion!I31&gt;0,Combustion!K31," ")</f>
        <v>WebFIRE</v>
      </c>
      <c r="E48" s="55"/>
      <c r="F48" s="162"/>
      <c r="G48" s="162"/>
      <c r="H48" s="55"/>
      <c r="I48" s="160">
        <f>IF(Combustion!I31=" "," ",$D$33*B48/2000)</f>
        <v>0</v>
      </c>
      <c r="J48" s="160"/>
    </row>
    <row r="49" spans="1:10" ht="14.25" customHeight="1" x14ac:dyDescent="0.2">
      <c r="A49" s="94" t="str">
        <f>IF(Combustion!I32=" "," ",Combustion!H32)</f>
        <v>Formaldehyde</v>
      </c>
      <c r="B49" s="48">
        <f>IF(Combustion!I32&gt;0,Combustion!I32," ")</f>
        <v>5.4000000000000003E-3</v>
      </c>
      <c r="C49" s="30" t="str">
        <f>IF(Combustion!I32=" "," ",Combustion!J32)</f>
        <v>lb/MMBtu</v>
      </c>
      <c r="D49" s="49" t="str">
        <f>IF(Combustion!I32&gt;0,Combustion!K32," ")</f>
        <v>WebFIRE</v>
      </c>
      <c r="E49" s="55"/>
      <c r="F49" s="162"/>
      <c r="G49" s="162"/>
      <c r="H49" s="55"/>
      <c r="I49" s="160">
        <f>IF(Combustion!I32=" "," ",$D$33*B49/2000)</f>
        <v>0</v>
      </c>
      <c r="J49" s="160"/>
    </row>
    <row r="50" spans="1:10" x14ac:dyDescent="0.2">
      <c r="A50" s="94" t="str">
        <f>IF(Combustion!I33=" "," ",Combustion!H33)</f>
        <v>Toluene</v>
      </c>
      <c r="B50" s="48">
        <f>IF(Combustion!I33&gt;0,Combustion!I33," ")</f>
        <v>5.2300000000000003E-3</v>
      </c>
      <c r="C50" s="30" t="str">
        <f>IF(Combustion!I33=" "," ",Combustion!J33)</f>
        <v>lb/MMBtu</v>
      </c>
      <c r="D50" s="49" t="str">
        <f>IF(Combustion!I33&gt;0,Combustion!K33," ")</f>
        <v>WebFIRE</v>
      </c>
      <c r="E50" s="55"/>
      <c r="F50" s="162"/>
      <c r="G50" s="162"/>
      <c r="H50" s="55"/>
      <c r="I50" s="160">
        <f>IF(Combustion!I33=" "," ",$D$33*B50/2000)</f>
        <v>0</v>
      </c>
      <c r="J50" s="160"/>
    </row>
    <row r="51" spans="1:10" x14ac:dyDescent="0.2">
      <c r="A51" s="94" t="s">
        <v>107</v>
      </c>
      <c r="B51" s="48">
        <f>IF(Combustion!I34&gt;0,Combustion!I34," ")</f>
        <v>1.4E-3</v>
      </c>
      <c r="C51" s="30" t="str">
        <f>IF(Combustion!I34=" "," ",Combustion!J34)</f>
        <v>lb/MMBtu</v>
      </c>
      <c r="D51" s="49" t="str">
        <f>IF(Combustion!I34&gt;0,Combustion!K34," ")</f>
        <v>WebFIRE</v>
      </c>
      <c r="E51" s="55"/>
      <c r="F51" s="162"/>
      <c r="G51" s="162"/>
      <c r="H51" s="55"/>
      <c r="I51" s="160">
        <f>IF(Combustion!I34=" "," ",$D$33*B51/2000)</f>
        <v>0</v>
      </c>
      <c r="J51" s="160"/>
    </row>
    <row r="52" spans="1:10" x14ac:dyDescent="0.2">
      <c r="A52" s="108" t="s">
        <v>109</v>
      </c>
      <c r="B52" s="48">
        <f>IF(Combustion!I35&gt;0,Combustion!I35," ")</f>
        <v>1.2999999999999999E-3</v>
      </c>
      <c r="C52" s="30" t="str">
        <f>IF(Combustion!I35=" "," ",Combustion!J35)</f>
        <v>lb/MMBtu</v>
      </c>
      <c r="D52" s="49" t="str">
        <f>IF(Combustion!I35&gt;0,Combustion!K35," ")</f>
        <v>WebFIRE</v>
      </c>
      <c r="E52" s="55"/>
      <c r="F52" s="162"/>
      <c r="G52" s="162"/>
      <c r="H52" s="55"/>
      <c r="I52" s="160">
        <f>IF(Combustion!I35=" "," ",$D$33*B52/2000)</f>
        <v>0</v>
      </c>
      <c r="J52" s="160"/>
    </row>
    <row r="53" spans="1:10" x14ac:dyDescent="0.2">
      <c r="A53" s="51"/>
      <c r="B53" s="48"/>
      <c r="C53" s="48"/>
      <c r="D53" s="49"/>
      <c r="E53" s="55"/>
      <c r="F53" s="162"/>
      <c r="G53" s="162"/>
      <c r="H53" s="55"/>
      <c r="I53" s="160"/>
      <c r="J53" s="160"/>
    </row>
  </sheetData>
  <sheetProtection algorithmName="SHA-512" hashValue="cyLMMARUzSlnNKxnrxutiYm7AAS05JcHI/Q6BSRCJl8BNgNz5GfgHQ3P9xmAj8lCaIOfXsHphqgL7swB4nSJhA==" saltValue="hEETQBqo77fB1zl2I7b0bg==" spinCount="100000" sheet="1"/>
  <mergeCells count="92">
    <mergeCell ref="I27:J27"/>
    <mergeCell ref="F27:G27"/>
    <mergeCell ref="A3:H3"/>
    <mergeCell ref="A5:C5"/>
    <mergeCell ref="D5:J5"/>
    <mergeCell ref="A4:C4"/>
    <mergeCell ref="D4:J4"/>
    <mergeCell ref="A7:C7"/>
    <mergeCell ref="D7:J7"/>
    <mergeCell ref="A6:C6"/>
    <mergeCell ref="D6:E6"/>
    <mergeCell ref="F6:G6"/>
    <mergeCell ref="H6:J6"/>
    <mergeCell ref="F12:G12"/>
    <mergeCell ref="I12:J12"/>
    <mergeCell ref="F13:G13"/>
    <mergeCell ref="A9:J9"/>
    <mergeCell ref="F10:G10"/>
    <mergeCell ref="I10:J10"/>
    <mergeCell ref="F11:G11"/>
    <mergeCell ref="I11:J11"/>
    <mergeCell ref="F14:G14"/>
    <mergeCell ref="I14:J14"/>
    <mergeCell ref="F15:G15"/>
    <mergeCell ref="I15:J15"/>
    <mergeCell ref="I13:J13"/>
    <mergeCell ref="I22:J22"/>
    <mergeCell ref="F22:G22"/>
    <mergeCell ref="I23:J23"/>
    <mergeCell ref="F16:G16"/>
    <mergeCell ref="I16:J16"/>
    <mergeCell ref="F17:G17"/>
    <mergeCell ref="I17:J17"/>
    <mergeCell ref="F18:G18"/>
    <mergeCell ref="I18:J18"/>
    <mergeCell ref="F19:G19"/>
    <mergeCell ref="I21:J21"/>
    <mergeCell ref="I19:J19"/>
    <mergeCell ref="A20:J20"/>
    <mergeCell ref="F21:G21"/>
    <mergeCell ref="F25:G25"/>
    <mergeCell ref="I25:J25"/>
    <mergeCell ref="F26:G26"/>
    <mergeCell ref="I26:J26"/>
    <mergeCell ref="F23:G23"/>
    <mergeCell ref="F24:G24"/>
    <mergeCell ref="I24:J24"/>
    <mergeCell ref="A30:H30"/>
    <mergeCell ref="A32:C32"/>
    <mergeCell ref="D32:J32"/>
    <mergeCell ref="A31:C31"/>
    <mergeCell ref="D31:J31"/>
    <mergeCell ref="A34:C34"/>
    <mergeCell ref="D34:J34"/>
    <mergeCell ref="A33:C33"/>
    <mergeCell ref="D33:E33"/>
    <mergeCell ref="F33:G33"/>
    <mergeCell ref="H33:J33"/>
    <mergeCell ref="A36:J36"/>
    <mergeCell ref="F37:G37"/>
    <mergeCell ref="I37:J37"/>
    <mergeCell ref="F38:G38"/>
    <mergeCell ref="I38:J38"/>
    <mergeCell ref="F39:G39"/>
    <mergeCell ref="I39:J39"/>
    <mergeCell ref="F40:G40"/>
    <mergeCell ref="I40:J40"/>
    <mergeCell ref="F41:G41"/>
    <mergeCell ref="I41:J41"/>
    <mergeCell ref="F42:G42"/>
    <mergeCell ref="I42:J42"/>
    <mergeCell ref="F43:G43"/>
    <mergeCell ref="I43:J43"/>
    <mergeCell ref="F53:G53"/>
    <mergeCell ref="I53:J53"/>
    <mergeCell ref="A47:J47"/>
    <mergeCell ref="F48:G48"/>
    <mergeCell ref="I49:J49"/>
    <mergeCell ref="F49:G49"/>
    <mergeCell ref="I50:J50"/>
    <mergeCell ref="F50:G50"/>
    <mergeCell ref="F51:G51"/>
    <mergeCell ref="I51:J51"/>
    <mergeCell ref="F52:G52"/>
    <mergeCell ref="I52:J52"/>
    <mergeCell ref="I48:J48"/>
    <mergeCell ref="I46:J46"/>
    <mergeCell ref="F44:G44"/>
    <mergeCell ref="I44:J44"/>
    <mergeCell ref="F45:G45"/>
    <mergeCell ref="I45:J45"/>
    <mergeCell ref="F46:G46"/>
  </mergeCells>
  <phoneticPr fontId="5" type="noConversion"/>
  <pageMargins left="0.75" right="0.5" top="0.75" bottom="0.75" header="0.5" footer="0.5"/>
  <pageSetup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"/>
  <sheetViews>
    <sheetView workbookViewId="0">
      <pane xSplit="1" topLeftCell="B1" activePane="topRight" state="frozen"/>
      <selection pane="topRight" activeCell="A4" sqref="A4"/>
    </sheetView>
  </sheetViews>
  <sheetFormatPr defaultRowHeight="12.75" x14ac:dyDescent="0.2"/>
  <cols>
    <col min="1" max="1" width="33.42578125" style="42" bestFit="1" customWidth="1"/>
    <col min="2" max="2" width="28.140625" style="42" customWidth="1"/>
    <col min="3" max="3" width="35.42578125" style="42" bestFit="1" customWidth="1"/>
    <col min="4" max="4" width="11.28515625" style="42" customWidth="1"/>
    <col min="5" max="5" width="9.42578125" style="42" bestFit="1" customWidth="1"/>
    <col min="6" max="8" width="9.28515625" style="14" customWidth="1"/>
    <col min="9" max="9" width="16" style="14" bestFit="1" customWidth="1"/>
    <col min="10" max="10" width="9.28515625" style="14" customWidth="1"/>
    <col min="11" max="11" width="16" style="14" bestFit="1" customWidth="1"/>
    <col min="12" max="12" width="9.28515625" style="14" customWidth="1"/>
    <col min="13" max="13" width="16" style="14" bestFit="1" customWidth="1"/>
    <col min="14" max="14" width="9.28515625" style="14" customWidth="1"/>
    <col min="15" max="15" width="26.42578125" style="14" bestFit="1" customWidth="1"/>
    <col min="16" max="16" width="9.28515625" style="14" customWidth="1"/>
    <col min="17" max="17" width="16" style="14" bestFit="1" customWidth="1"/>
    <col min="18" max="18" width="9.28515625" style="14" customWidth="1"/>
    <col min="19" max="19" width="16" style="14" bestFit="1" customWidth="1"/>
    <col min="20" max="20" width="14.28515625" style="14" bestFit="1" customWidth="1"/>
    <col min="21" max="21" width="16" style="14" bestFit="1" customWidth="1"/>
    <col min="22" max="22" width="8.5703125" style="14" bestFit="1" customWidth="1"/>
    <col min="23" max="23" width="16" style="14" bestFit="1" customWidth="1"/>
    <col min="24" max="24" width="12.5703125" style="14" bestFit="1" customWidth="1"/>
    <col min="25" max="25" width="16" style="14" bestFit="1" customWidth="1"/>
    <col min="26" max="31" width="16" style="14" customWidth="1"/>
    <col min="32" max="16384" width="9.140625" style="14"/>
  </cols>
  <sheetData>
    <row r="1" spans="1:32" s="18" customFormat="1" x14ac:dyDescent="0.2">
      <c r="A1" s="71" t="s">
        <v>49</v>
      </c>
      <c r="B1" s="71" t="s">
        <v>50</v>
      </c>
      <c r="C1" s="71" t="s">
        <v>51</v>
      </c>
      <c r="D1" s="71" t="s">
        <v>52</v>
      </c>
      <c r="E1" s="71" t="s">
        <v>66</v>
      </c>
      <c r="F1" s="71" t="s">
        <v>53</v>
      </c>
      <c r="G1" s="71" t="s">
        <v>54</v>
      </c>
      <c r="H1" s="71" t="s">
        <v>55</v>
      </c>
      <c r="I1" s="71" t="s">
        <v>54</v>
      </c>
      <c r="J1" s="71" t="s">
        <v>17</v>
      </c>
      <c r="K1" s="71" t="s">
        <v>54</v>
      </c>
      <c r="L1" s="71" t="s">
        <v>56</v>
      </c>
      <c r="M1" s="71" t="s">
        <v>54</v>
      </c>
      <c r="N1" s="71" t="s">
        <v>57</v>
      </c>
      <c r="O1" s="71" t="s">
        <v>54</v>
      </c>
      <c r="P1" s="71" t="s">
        <v>20</v>
      </c>
      <c r="Q1" s="71" t="s">
        <v>54</v>
      </c>
      <c r="R1" s="71" t="s">
        <v>84</v>
      </c>
      <c r="S1" s="71" t="s">
        <v>54</v>
      </c>
      <c r="T1" s="71" t="s">
        <v>81</v>
      </c>
      <c r="U1" s="71" t="s">
        <v>54</v>
      </c>
      <c r="V1" s="71" t="s">
        <v>85</v>
      </c>
      <c r="W1" s="71" t="s">
        <v>54</v>
      </c>
      <c r="X1" s="71" t="s">
        <v>107</v>
      </c>
      <c r="Y1" s="71" t="s">
        <v>54</v>
      </c>
      <c r="Z1" s="71" t="s">
        <v>109</v>
      </c>
      <c r="AA1" s="71" t="s">
        <v>54</v>
      </c>
      <c r="AB1" s="71" t="s">
        <v>112</v>
      </c>
      <c r="AC1" s="71" t="s">
        <v>54</v>
      </c>
      <c r="AD1" s="71" t="s">
        <v>113</v>
      </c>
      <c r="AE1" s="71" t="s">
        <v>54</v>
      </c>
      <c r="AF1" s="71" t="s">
        <v>58</v>
      </c>
    </row>
    <row r="2" spans="1:32" x14ac:dyDescent="0.2">
      <c r="A2" s="68" t="s">
        <v>125</v>
      </c>
      <c r="B2" s="68" t="s">
        <v>63</v>
      </c>
      <c r="C2" s="42" t="s">
        <v>60</v>
      </c>
      <c r="D2" s="42" t="s">
        <v>67</v>
      </c>
      <c r="E2" s="42" t="s">
        <v>61</v>
      </c>
      <c r="F2" s="72">
        <v>0.05</v>
      </c>
      <c r="G2" s="18" t="s">
        <v>62</v>
      </c>
      <c r="H2" s="72">
        <v>0.14000000000000001</v>
      </c>
      <c r="I2" s="18" t="s">
        <v>64</v>
      </c>
      <c r="J2" s="72">
        <v>1.01</v>
      </c>
      <c r="K2" s="18" t="s">
        <v>83</v>
      </c>
      <c r="L2" s="72">
        <v>3.2</v>
      </c>
      <c r="M2" s="18" t="s">
        <v>83</v>
      </c>
      <c r="N2" s="72">
        <v>8.1900000000000001E-2</v>
      </c>
      <c r="O2" s="18" t="s">
        <v>117</v>
      </c>
      <c r="P2" s="72">
        <v>0.85</v>
      </c>
      <c r="Q2" s="73" t="s">
        <v>83</v>
      </c>
      <c r="R2" s="84">
        <v>7.76E-4</v>
      </c>
      <c r="S2" s="82" t="s">
        <v>110</v>
      </c>
      <c r="T2" s="86">
        <v>7.8899999999999993E-5</v>
      </c>
      <c r="U2" s="85" t="s">
        <v>110</v>
      </c>
      <c r="V2" s="84">
        <v>2.81E-4</v>
      </c>
      <c r="W2" s="85" t="s">
        <v>110</v>
      </c>
      <c r="X2" s="18">
        <v>1.2999999999999999E-4</v>
      </c>
      <c r="Y2" s="82" t="s">
        <v>108</v>
      </c>
      <c r="Z2" s="82">
        <v>1.93E-4</v>
      </c>
      <c r="AA2" s="82" t="s">
        <v>110</v>
      </c>
      <c r="AB2" s="82">
        <v>2.5199999999999999E-5</v>
      </c>
      <c r="AC2" s="82" t="s">
        <v>110</v>
      </c>
      <c r="AD2" s="82">
        <v>7.8800000000000008E-6</v>
      </c>
      <c r="AE2" s="82" t="s">
        <v>110</v>
      </c>
      <c r="AF2" s="14">
        <v>20200401</v>
      </c>
    </row>
    <row r="3" spans="1:32" x14ac:dyDescent="0.2">
      <c r="A3" s="68" t="s">
        <v>126</v>
      </c>
      <c r="B3" s="68" t="s">
        <v>59</v>
      </c>
      <c r="C3" s="42" t="s">
        <v>60</v>
      </c>
      <c r="D3" s="42" t="s">
        <v>67</v>
      </c>
      <c r="E3" s="42" t="s">
        <v>61</v>
      </c>
      <c r="F3" s="72">
        <v>0.31</v>
      </c>
      <c r="G3" s="18" t="s">
        <v>62</v>
      </c>
      <c r="H3" s="72">
        <v>0.31</v>
      </c>
      <c r="I3" s="18" t="s">
        <v>82</v>
      </c>
      <c r="J3" s="72">
        <v>0.28999999999999998</v>
      </c>
      <c r="K3" s="18" t="s">
        <v>82</v>
      </c>
      <c r="L3" s="72">
        <v>4.41</v>
      </c>
      <c r="M3" s="18" t="s">
        <v>82</v>
      </c>
      <c r="N3" s="72">
        <v>0.35</v>
      </c>
      <c r="O3" s="82" t="s">
        <v>82</v>
      </c>
      <c r="P3" s="72">
        <v>0.95</v>
      </c>
      <c r="Q3" s="73" t="s">
        <v>82</v>
      </c>
      <c r="R3" s="84">
        <v>9.3300000000000002E-4</v>
      </c>
      <c r="S3" s="85" t="s">
        <v>89</v>
      </c>
      <c r="T3" s="72">
        <v>1.1800000000000001E-3</v>
      </c>
      <c r="U3" s="85" t="s">
        <v>89</v>
      </c>
      <c r="V3" s="84">
        <v>4.0900000000000002E-4</v>
      </c>
      <c r="W3" s="85" t="s">
        <v>89</v>
      </c>
      <c r="X3" s="18">
        <v>8.4800000000000001E-5</v>
      </c>
      <c r="Y3" s="82" t="s">
        <v>89</v>
      </c>
      <c r="Z3" s="82">
        <v>2.8499999999999999E-4</v>
      </c>
      <c r="AA3" s="82" t="s">
        <v>89</v>
      </c>
      <c r="AB3" s="82">
        <v>7.67E-4</v>
      </c>
      <c r="AC3" s="82" t="s">
        <v>89</v>
      </c>
      <c r="AD3" s="18">
        <v>9.2499999999999999E-5</v>
      </c>
      <c r="AE3" s="82" t="s">
        <v>89</v>
      </c>
      <c r="AF3" s="14">
        <v>20200102</v>
      </c>
    </row>
    <row r="4" spans="1:32" x14ac:dyDescent="0.2">
      <c r="A4" s="68" t="s">
        <v>86</v>
      </c>
      <c r="B4" s="68" t="s">
        <v>86</v>
      </c>
      <c r="C4" s="42" t="s">
        <v>87</v>
      </c>
      <c r="D4" s="42" t="s">
        <v>67</v>
      </c>
      <c r="E4" s="42" t="s">
        <v>61</v>
      </c>
      <c r="F4" s="89">
        <v>5.5599999999999997E-2</v>
      </c>
      <c r="G4" s="82" t="s">
        <v>62</v>
      </c>
      <c r="H4" s="89">
        <v>5.7299999999999997E-2</v>
      </c>
      <c r="I4" s="82" t="s">
        <v>62</v>
      </c>
      <c r="J4" s="72">
        <v>0.05</v>
      </c>
      <c r="K4" s="82" t="s">
        <v>83</v>
      </c>
      <c r="L4" s="72">
        <v>2.7</v>
      </c>
      <c r="M4" s="18" t="s">
        <v>83</v>
      </c>
      <c r="N4" s="72">
        <v>0.2</v>
      </c>
      <c r="O4" s="82" t="s">
        <v>83</v>
      </c>
      <c r="P4" s="72">
        <v>1.1599999999999999</v>
      </c>
      <c r="Q4" s="82" t="s">
        <v>83</v>
      </c>
      <c r="R4" s="90">
        <v>4.45E-3</v>
      </c>
      <c r="S4" s="82" t="s">
        <v>62</v>
      </c>
      <c r="T4" s="89">
        <v>5.4000000000000003E-3</v>
      </c>
      <c r="U4" s="82" t="s">
        <v>62</v>
      </c>
      <c r="V4" s="90">
        <v>5.2300000000000003E-3</v>
      </c>
      <c r="W4" s="82" t="s">
        <v>62</v>
      </c>
      <c r="X4" s="18">
        <v>1.4E-3</v>
      </c>
      <c r="Y4" s="82" t="s">
        <v>62</v>
      </c>
      <c r="Z4" s="82">
        <v>1.2999999999999999E-3</v>
      </c>
      <c r="AA4" s="82" t="s">
        <v>62</v>
      </c>
      <c r="AB4" s="82"/>
      <c r="AC4" s="82"/>
      <c r="AD4" s="82"/>
      <c r="AE4" s="82"/>
      <c r="AF4" s="14">
        <v>20200402</v>
      </c>
    </row>
    <row r="5" spans="1:32" x14ac:dyDescent="0.2">
      <c r="A5" s="68"/>
      <c r="B5" s="68"/>
      <c r="C5" s="68"/>
      <c r="D5" s="68"/>
      <c r="E5" s="68"/>
      <c r="F5" s="72"/>
      <c r="G5" s="18"/>
      <c r="H5" s="72"/>
      <c r="I5" s="18"/>
      <c r="J5" s="72"/>
      <c r="K5" s="18"/>
      <c r="L5" s="72"/>
      <c r="M5" s="18"/>
      <c r="N5" s="72"/>
      <c r="O5" s="18"/>
      <c r="P5" s="72"/>
      <c r="Q5" s="73"/>
      <c r="R5" s="72"/>
      <c r="S5" s="73"/>
      <c r="T5" s="72"/>
      <c r="U5" s="73"/>
      <c r="V5" s="73"/>
      <c r="W5" s="73"/>
    </row>
    <row r="9" spans="1:32" x14ac:dyDescent="0.2">
      <c r="A9" s="68"/>
      <c r="B9" s="68"/>
      <c r="C9" s="68"/>
      <c r="D9" s="68"/>
      <c r="E9" s="6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73"/>
      <c r="R9" s="73"/>
      <c r="S9" s="73"/>
      <c r="T9" s="73"/>
      <c r="U9" s="73"/>
      <c r="V9" s="73"/>
      <c r="W9" s="73"/>
    </row>
    <row r="10" spans="1:32" x14ac:dyDescent="0.2">
      <c r="A10" s="68"/>
      <c r="B10" s="68"/>
      <c r="C10" s="68"/>
      <c r="D10" s="68"/>
      <c r="E10" s="6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73"/>
      <c r="R10" s="73"/>
      <c r="S10" s="73"/>
      <c r="T10" s="73"/>
      <c r="U10" s="73"/>
      <c r="V10" s="73"/>
      <c r="W10" s="73"/>
    </row>
    <row r="11" spans="1:32" x14ac:dyDescent="0.2">
      <c r="A11" s="68"/>
      <c r="B11" s="68"/>
      <c r="C11" s="68"/>
      <c r="D11" s="68"/>
      <c r="E11" s="6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73"/>
      <c r="R11" s="73"/>
      <c r="S11" s="73"/>
      <c r="T11" s="73"/>
      <c r="U11" s="73"/>
      <c r="V11" s="73"/>
      <c r="W11" s="73"/>
    </row>
    <row r="12" spans="1:32" x14ac:dyDescent="0.2">
      <c r="A12" s="68"/>
      <c r="B12" s="68"/>
      <c r="C12" s="68"/>
      <c r="D12" s="68"/>
      <c r="E12" s="6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73"/>
      <c r="R12" s="73"/>
      <c r="S12" s="73"/>
      <c r="T12" s="73"/>
      <c r="U12" s="73"/>
      <c r="V12" s="73"/>
      <c r="W12" s="73"/>
    </row>
    <row r="13" spans="1:32" x14ac:dyDescent="0.2">
      <c r="A13" s="68"/>
      <c r="B13" s="68"/>
      <c r="C13" s="68"/>
      <c r="D13" s="68"/>
      <c r="E13" s="6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73"/>
      <c r="R13" s="73"/>
      <c r="S13" s="73"/>
      <c r="T13" s="73"/>
      <c r="U13" s="73"/>
      <c r="V13" s="73"/>
      <c r="W13" s="73"/>
    </row>
    <row r="14" spans="1:32" x14ac:dyDescent="0.2">
      <c r="A14" s="68"/>
      <c r="B14" s="68"/>
      <c r="C14" s="68"/>
      <c r="D14" s="68"/>
      <c r="E14" s="6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73"/>
      <c r="R14" s="73"/>
      <c r="S14" s="73"/>
      <c r="T14" s="73"/>
      <c r="U14" s="73"/>
      <c r="V14" s="73"/>
      <c r="W14" s="73"/>
    </row>
    <row r="15" spans="1:32" x14ac:dyDescent="0.2">
      <c r="A15" s="68"/>
      <c r="B15" s="68"/>
      <c r="C15" s="68"/>
      <c r="D15" s="68"/>
      <c r="E15" s="6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73"/>
      <c r="R15" s="73"/>
      <c r="S15" s="73"/>
      <c r="T15" s="73"/>
      <c r="U15" s="73"/>
      <c r="V15" s="73"/>
      <c r="W15" s="73"/>
    </row>
    <row r="16" spans="1:32" x14ac:dyDescent="0.2">
      <c r="A16" s="68"/>
      <c r="B16" s="68"/>
      <c r="C16" s="68"/>
      <c r="D16" s="68"/>
      <c r="E16" s="6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73"/>
      <c r="R16" s="73"/>
      <c r="S16" s="73"/>
      <c r="T16" s="73"/>
      <c r="U16" s="73"/>
      <c r="V16" s="73"/>
      <c r="W16" s="73"/>
    </row>
    <row r="17" spans="1:23" x14ac:dyDescent="0.2">
      <c r="A17" s="68"/>
      <c r="B17" s="68"/>
      <c r="C17" s="68"/>
      <c r="D17" s="68"/>
      <c r="E17" s="6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73"/>
      <c r="R17" s="73"/>
      <c r="S17" s="73"/>
      <c r="T17" s="73"/>
      <c r="U17" s="73"/>
      <c r="V17" s="73"/>
      <c r="W17" s="73"/>
    </row>
    <row r="18" spans="1:23" x14ac:dyDescent="0.2">
      <c r="A18" s="68"/>
      <c r="B18" s="68"/>
      <c r="C18" s="68"/>
      <c r="D18" s="68"/>
      <c r="E18" s="6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73"/>
      <c r="R18" s="73"/>
      <c r="S18" s="73"/>
      <c r="T18" s="73"/>
      <c r="U18" s="73"/>
      <c r="V18" s="73"/>
      <c r="W18" s="73"/>
    </row>
    <row r="19" spans="1:23" x14ac:dyDescent="0.2">
      <c r="A19" s="68"/>
      <c r="B19" s="68"/>
      <c r="C19" s="68"/>
      <c r="D19" s="68"/>
      <c r="E19" s="6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73"/>
      <c r="R19" s="73"/>
      <c r="S19" s="73"/>
      <c r="T19" s="73"/>
      <c r="U19" s="73"/>
      <c r="V19" s="73"/>
      <c r="W19" s="73"/>
    </row>
    <row r="20" spans="1:23" x14ac:dyDescent="0.2">
      <c r="A20" s="68"/>
      <c r="B20" s="68"/>
      <c r="C20" s="68"/>
      <c r="D20" s="68"/>
      <c r="E20" s="6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73"/>
      <c r="R20" s="73"/>
      <c r="S20" s="73"/>
      <c r="T20" s="73"/>
      <c r="U20" s="73"/>
      <c r="V20" s="73"/>
      <c r="W20" s="73"/>
    </row>
    <row r="21" spans="1:23" x14ac:dyDescent="0.2">
      <c r="A21" s="74"/>
      <c r="B21" s="74"/>
      <c r="C21" s="74"/>
      <c r="D21" s="74"/>
      <c r="E21" s="74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73"/>
      <c r="R21" s="73"/>
      <c r="S21" s="73"/>
      <c r="T21" s="73"/>
      <c r="U21" s="73"/>
      <c r="V21" s="73"/>
      <c r="W21" s="73"/>
    </row>
    <row r="22" spans="1:23" x14ac:dyDescent="0.2">
      <c r="A22" s="68"/>
      <c r="B22" s="68"/>
      <c r="C22" s="68"/>
      <c r="D22" s="68"/>
      <c r="E22" s="6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73"/>
      <c r="R22" s="73"/>
      <c r="S22" s="73"/>
      <c r="T22" s="73"/>
      <c r="U22" s="73"/>
      <c r="V22" s="73"/>
      <c r="W22" s="73"/>
    </row>
    <row r="23" spans="1:23" x14ac:dyDescent="0.2">
      <c r="A23" s="74"/>
      <c r="B23" s="74"/>
      <c r="C23" s="74"/>
      <c r="D23" s="74"/>
      <c r="E23" s="74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73"/>
      <c r="R23" s="73"/>
      <c r="S23" s="73"/>
      <c r="T23" s="73"/>
      <c r="U23" s="73"/>
      <c r="V23" s="73"/>
      <c r="W23" s="73"/>
    </row>
    <row r="24" spans="1:23" x14ac:dyDescent="0.2">
      <c r="A24" s="74"/>
      <c r="B24" s="74"/>
      <c r="C24" s="74"/>
      <c r="D24" s="74"/>
      <c r="E24" s="74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73"/>
      <c r="R24" s="73"/>
      <c r="S24" s="73"/>
      <c r="T24" s="73"/>
      <c r="U24" s="73"/>
      <c r="V24" s="73"/>
      <c r="W24" s="73"/>
    </row>
    <row r="25" spans="1:23" x14ac:dyDescent="0.2">
      <c r="A25" s="74"/>
      <c r="B25" s="74"/>
      <c r="C25" s="74"/>
      <c r="D25" s="74"/>
      <c r="E25" s="7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73"/>
      <c r="R25" s="73"/>
      <c r="S25" s="73"/>
      <c r="T25" s="73"/>
      <c r="U25" s="73"/>
      <c r="V25" s="73"/>
      <c r="W25" s="73"/>
    </row>
    <row r="26" spans="1:23" x14ac:dyDescent="0.2">
      <c r="A26" s="74"/>
      <c r="B26" s="74"/>
      <c r="C26" s="74"/>
      <c r="D26" s="74"/>
      <c r="E26" s="7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73"/>
      <c r="R26" s="73"/>
      <c r="S26" s="73"/>
      <c r="T26" s="73"/>
      <c r="U26" s="73"/>
      <c r="V26" s="73"/>
      <c r="W26" s="73"/>
    </row>
    <row r="27" spans="1:23" x14ac:dyDescent="0.2">
      <c r="A27" s="74"/>
      <c r="B27" s="74"/>
      <c r="C27" s="74"/>
      <c r="D27" s="74"/>
      <c r="E27" s="74"/>
      <c r="Q27" s="75"/>
      <c r="R27" s="75"/>
      <c r="S27" s="75"/>
      <c r="T27" s="75"/>
      <c r="U27" s="75"/>
      <c r="V27" s="75"/>
      <c r="W27" s="75"/>
    </row>
    <row r="28" spans="1:23" x14ac:dyDescent="0.2">
      <c r="A28" s="74"/>
      <c r="B28" s="74"/>
      <c r="C28" s="74"/>
      <c r="D28" s="74"/>
      <c r="E28" s="74"/>
      <c r="Q28" s="75"/>
      <c r="R28" s="75"/>
      <c r="S28" s="75"/>
      <c r="T28" s="75"/>
      <c r="U28" s="75"/>
      <c r="V28" s="75"/>
      <c r="W28" s="75"/>
    </row>
    <row r="29" spans="1:23" x14ac:dyDescent="0.2">
      <c r="A29" s="74"/>
      <c r="B29" s="74"/>
      <c r="C29" s="74"/>
      <c r="D29" s="74"/>
      <c r="E29" s="74"/>
      <c r="Q29" s="75"/>
      <c r="R29" s="75"/>
      <c r="S29" s="75"/>
      <c r="T29" s="75"/>
      <c r="U29" s="75"/>
      <c r="V29" s="75"/>
      <c r="W29" s="75"/>
    </row>
    <row r="30" spans="1:23" x14ac:dyDescent="0.2">
      <c r="A30" s="74"/>
      <c r="B30" s="74"/>
      <c r="C30" s="74"/>
      <c r="D30" s="74"/>
      <c r="E30" s="74"/>
      <c r="Q30" s="75"/>
      <c r="R30" s="75"/>
      <c r="S30" s="75"/>
      <c r="T30" s="75"/>
      <c r="U30" s="75"/>
      <c r="V30" s="75"/>
      <c r="W30" s="75"/>
    </row>
    <row r="31" spans="1:23" x14ac:dyDescent="0.2">
      <c r="A31" s="74"/>
      <c r="B31" s="74"/>
      <c r="C31" s="74"/>
      <c r="D31" s="74"/>
      <c r="E31" s="74"/>
      <c r="Q31" s="75"/>
      <c r="R31" s="75"/>
      <c r="S31" s="75"/>
      <c r="T31" s="75"/>
      <c r="U31" s="75"/>
      <c r="V31" s="75"/>
      <c r="W31" s="75"/>
    </row>
    <row r="32" spans="1:23" x14ac:dyDescent="0.2">
      <c r="A32" s="74"/>
      <c r="B32" s="74"/>
      <c r="C32" s="74"/>
      <c r="D32" s="74"/>
      <c r="E32" s="74"/>
      <c r="Q32" s="75"/>
      <c r="R32" s="75"/>
      <c r="S32" s="75"/>
      <c r="T32" s="75"/>
      <c r="U32" s="75"/>
      <c r="V32" s="75"/>
      <c r="W32" s="75"/>
    </row>
    <row r="33" spans="1:23" x14ac:dyDescent="0.2">
      <c r="A33" s="74"/>
      <c r="B33" s="74"/>
      <c r="C33" s="74"/>
      <c r="D33" s="74"/>
      <c r="E33" s="74"/>
      <c r="Q33" s="75"/>
      <c r="R33" s="75"/>
      <c r="S33" s="75"/>
      <c r="T33" s="75"/>
      <c r="U33" s="75"/>
      <c r="V33" s="75"/>
      <c r="W33" s="75"/>
    </row>
    <row r="34" spans="1:23" x14ac:dyDescent="0.2">
      <c r="A34" s="74"/>
      <c r="B34" s="74"/>
      <c r="C34" s="74"/>
      <c r="D34" s="74"/>
      <c r="E34" s="74"/>
      <c r="Q34" s="75"/>
      <c r="R34" s="75"/>
      <c r="S34" s="75"/>
      <c r="T34" s="75"/>
      <c r="U34" s="75"/>
      <c r="V34" s="75"/>
      <c r="W34" s="75"/>
    </row>
    <row r="35" spans="1:23" x14ac:dyDescent="0.2">
      <c r="A35" s="74"/>
      <c r="B35" s="74"/>
      <c r="C35" s="74"/>
      <c r="D35" s="74"/>
      <c r="E35" s="74"/>
      <c r="Q35" s="75"/>
      <c r="R35" s="75"/>
      <c r="S35" s="75"/>
      <c r="T35" s="75"/>
      <c r="U35" s="75"/>
      <c r="V35" s="75"/>
      <c r="W35" s="75"/>
    </row>
    <row r="36" spans="1:23" x14ac:dyDescent="0.2">
      <c r="A36" s="74"/>
      <c r="B36" s="74"/>
      <c r="C36" s="74"/>
      <c r="D36" s="74"/>
      <c r="E36" s="74"/>
      <c r="Q36" s="75"/>
      <c r="R36" s="75"/>
      <c r="S36" s="75"/>
      <c r="T36" s="75"/>
      <c r="U36" s="75"/>
      <c r="V36" s="75"/>
      <c r="W36" s="75"/>
    </row>
    <row r="37" spans="1:23" x14ac:dyDescent="0.2">
      <c r="A37" s="74"/>
      <c r="B37" s="74"/>
      <c r="C37" s="74"/>
      <c r="D37" s="74"/>
      <c r="E37" s="74"/>
      <c r="Q37" s="75"/>
      <c r="R37" s="75"/>
      <c r="S37" s="75"/>
      <c r="T37" s="75"/>
      <c r="U37" s="75"/>
      <c r="V37" s="75"/>
      <c r="W37" s="75"/>
    </row>
    <row r="38" spans="1:23" x14ac:dyDescent="0.2">
      <c r="A38" s="74"/>
      <c r="B38" s="74"/>
      <c r="C38" s="74"/>
      <c r="D38" s="74"/>
      <c r="E38" s="74"/>
      <c r="Q38" s="75"/>
      <c r="R38" s="75"/>
      <c r="S38" s="75"/>
      <c r="T38" s="75"/>
      <c r="U38" s="75"/>
      <c r="V38" s="75"/>
      <c r="W38" s="75"/>
    </row>
    <row r="39" spans="1:23" x14ac:dyDescent="0.2">
      <c r="A39" s="74"/>
      <c r="B39" s="74"/>
      <c r="C39" s="74"/>
      <c r="D39" s="74"/>
      <c r="E39" s="74"/>
      <c r="Q39" s="75"/>
      <c r="R39" s="75"/>
      <c r="S39" s="75"/>
      <c r="T39" s="75"/>
      <c r="U39" s="75"/>
      <c r="V39" s="75"/>
      <c r="W39" s="75"/>
    </row>
    <row r="40" spans="1:23" x14ac:dyDescent="0.2">
      <c r="A40" s="74"/>
      <c r="B40" s="74"/>
      <c r="C40" s="74"/>
      <c r="D40" s="74"/>
      <c r="E40" s="74"/>
      <c r="Q40" s="75"/>
      <c r="R40" s="75"/>
      <c r="S40" s="75"/>
      <c r="T40" s="75"/>
      <c r="U40" s="75"/>
      <c r="V40" s="75"/>
      <c r="W40" s="75"/>
    </row>
    <row r="41" spans="1:23" x14ac:dyDescent="0.2">
      <c r="A41" s="74"/>
      <c r="B41" s="74"/>
      <c r="C41" s="74"/>
      <c r="D41" s="74"/>
      <c r="E41" s="74"/>
      <c r="Q41" s="75"/>
      <c r="R41" s="75"/>
      <c r="S41" s="75"/>
      <c r="T41" s="75"/>
      <c r="U41" s="75"/>
      <c r="V41" s="75"/>
      <c r="W41" s="75"/>
    </row>
    <row r="42" spans="1:23" s="62" customFormat="1" x14ac:dyDescent="0.2">
      <c r="A42" s="42"/>
      <c r="B42" s="42"/>
      <c r="C42" s="42"/>
      <c r="D42" s="42"/>
      <c r="E42" s="42"/>
      <c r="F42" s="14"/>
      <c r="G42" s="14"/>
      <c r="H42" s="14"/>
      <c r="I42" s="14"/>
      <c r="J42" s="14"/>
      <c r="K42" s="14"/>
      <c r="L42" s="14"/>
      <c r="M42" s="14"/>
      <c r="N42" s="14"/>
      <c r="O42" s="14"/>
    </row>
  </sheetData>
  <sheetProtection password="DC15" sheet="1"/>
  <phoneticPr fontId="5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Combustion</vt:lpstr>
      <vt:lpstr>Permit Limits</vt:lpstr>
      <vt:lpstr>INV-3</vt:lpstr>
      <vt:lpstr>INV-4</vt:lpstr>
      <vt:lpstr>Emission Factors</vt:lpstr>
      <vt:lpstr>Diesel</vt:lpstr>
      <vt:lpstr>'INV-4'!Print_Area</vt:lpstr>
    </vt:vector>
  </TitlesOfParts>
  <Company>iwrc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Gedlinske</dc:creator>
  <cp:lastModifiedBy>Jennifer L Wittenburg</cp:lastModifiedBy>
  <cp:lastPrinted>2012-01-23T17:22:49Z</cp:lastPrinted>
  <dcterms:created xsi:type="dcterms:W3CDTF">1999-10-20T15:39:50Z</dcterms:created>
  <dcterms:modified xsi:type="dcterms:W3CDTF">2020-09-01T20:45:37Z</dcterms:modified>
</cp:coreProperties>
</file>