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18 Calculator\"/>
    </mc:Choice>
  </mc:AlternateContent>
  <bookViews>
    <workbookView xWindow="285" yWindow="-15" windowWidth="17220" windowHeight="11580"/>
  </bookViews>
  <sheets>
    <sheet name="Combustion" sheetId="2" r:id="rId1"/>
    <sheet name="Permit Limits" sheetId="6" state="hidden" r:id="rId2"/>
    <sheet name="INV-3" sheetId="4" state="hidden" r:id="rId3"/>
    <sheet name="INV-4" sheetId="5" r:id="rId4"/>
    <sheet name="Emission Factors" sheetId="7" r:id="rId5"/>
  </sheets>
  <definedNames>
    <definedName name="_xlnm.Print_Area" localSheetId="3">'INV-4'!$A$1:$H$25</definedName>
  </definedNames>
  <calcPr calcId="162913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I15" i="2" l="1"/>
  <c r="B21" i="5" s="1"/>
  <c r="D6" i="5"/>
  <c r="I14" i="2"/>
  <c r="A20" i="4" s="1"/>
  <c r="B20" i="5"/>
  <c r="F7" i="2"/>
  <c r="C18" i="6" s="1"/>
  <c r="D6" i="4"/>
  <c r="J20" i="4"/>
  <c r="J15" i="2"/>
  <c r="J14" i="2"/>
  <c r="E25" i="6"/>
  <c r="E24" i="6"/>
  <c r="I9" i="2"/>
  <c r="B13" i="4" s="1"/>
  <c r="F13" i="4" s="1"/>
  <c r="E13" i="4"/>
  <c r="I8" i="2"/>
  <c r="B12" i="4" s="1"/>
  <c r="I7" i="2"/>
  <c r="B11" i="4" s="1"/>
  <c r="A9" i="2"/>
  <c r="D4" i="4" s="1"/>
  <c r="E25" i="2"/>
  <c r="E26" i="2"/>
  <c r="E27" i="2"/>
  <c r="E28" i="2"/>
  <c r="E29" i="2"/>
  <c r="E24" i="2"/>
  <c r="E23" i="2"/>
  <c r="I13" i="2"/>
  <c r="D18" i="5" s="1"/>
  <c r="I12" i="2"/>
  <c r="D16" i="5" s="1"/>
  <c r="I11" i="2"/>
  <c r="B15" i="5" s="1"/>
  <c r="I10" i="2"/>
  <c r="B14" i="5" s="1"/>
  <c r="C13" i="5"/>
  <c r="J13" i="2"/>
  <c r="J12" i="2"/>
  <c r="J11" i="2"/>
  <c r="J10" i="2"/>
  <c r="J9" i="2"/>
  <c r="J8" i="2"/>
  <c r="J7" i="2"/>
  <c r="G7" i="2"/>
  <c r="C3" i="5" s="1"/>
  <c r="D7" i="2"/>
  <c r="B9" i="2"/>
  <c r="E21" i="2"/>
  <c r="E20" i="2"/>
  <c r="E19" i="2"/>
  <c r="E22" i="2"/>
  <c r="E13" i="5"/>
  <c r="E18" i="2"/>
  <c r="J12" i="4"/>
  <c r="J11" i="4"/>
  <c r="J13" i="4"/>
  <c r="J14" i="4"/>
  <c r="J15" i="4"/>
  <c r="J16" i="4"/>
  <c r="B8" i="2"/>
  <c r="G6" i="5"/>
  <c r="A10" i="2"/>
  <c r="D5" i="4" s="1"/>
  <c r="D20" i="4" l="1"/>
  <c r="D18" i="4"/>
  <c r="B18" i="5"/>
  <c r="C18" i="5"/>
  <c r="J18" i="4"/>
  <c r="D21" i="4"/>
  <c r="H21" i="5"/>
  <c r="D11" i="5"/>
  <c r="C13" i="4"/>
  <c r="A21" i="5"/>
  <c r="H20" i="5"/>
  <c r="D3" i="4"/>
  <c r="C15" i="4"/>
  <c r="H18" i="5"/>
  <c r="C20" i="5"/>
  <c r="C12" i="4"/>
  <c r="C12" i="5"/>
  <c r="D12" i="5"/>
  <c r="C14" i="5"/>
  <c r="D16" i="4"/>
  <c r="B14" i="4"/>
  <c r="C16" i="5"/>
  <c r="B16" i="5"/>
  <c r="H16" i="5" s="1"/>
  <c r="C16" i="4"/>
  <c r="D12" i="4"/>
  <c r="B16" i="4"/>
  <c r="G16" i="4" s="1"/>
  <c r="K16" i="4" s="1"/>
  <c r="B12" i="5"/>
  <c r="H12" i="5" s="1"/>
  <c r="G12" i="4"/>
  <c r="K12" i="4" s="1"/>
  <c r="D11" i="4"/>
  <c r="D13" i="5"/>
  <c r="D14" i="5"/>
  <c r="C11" i="4"/>
  <c r="D15" i="4"/>
  <c r="B15" i="4"/>
  <c r="G15" i="4" s="1"/>
  <c r="K15" i="4" s="1"/>
  <c r="H15" i="5"/>
  <c r="C20" i="4"/>
  <c r="A20" i="5"/>
  <c r="D20" i="5"/>
  <c r="B13" i="5"/>
  <c r="H13" i="5" s="1"/>
  <c r="G13" i="4"/>
  <c r="K13" i="4" s="1"/>
  <c r="B11" i="5"/>
  <c r="H11" i="5" s="1"/>
  <c r="B20" i="4"/>
  <c r="G20" i="4" s="1"/>
  <c r="K20" i="4" s="1"/>
  <c r="D21" i="5"/>
  <c r="C18" i="4"/>
  <c r="B18" i="4"/>
  <c r="G18" i="4" s="1"/>
  <c r="K18" i="4" s="1"/>
  <c r="G6" i="4"/>
  <c r="C5" i="5"/>
  <c r="D15" i="5"/>
  <c r="D13" i="4"/>
  <c r="D14" i="4"/>
  <c r="C14" i="4"/>
  <c r="C15" i="5"/>
  <c r="H14" i="5"/>
  <c r="G11" i="4"/>
  <c r="K11" i="4" s="1"/>
  <c r="C17" i="6"/>
  <c r="A21" i="4"/>
  <c r="D4" i="5"/>
  <c r="G14" i="4"/>
  <c r="K14" i="4" s="1"/>
  <c r="C11" i="5"/>
  <c r="B21" i="4"/>
  <c r="G21" i="4" s="1"/>
  <c r="K21" i="4" s="1"/>
  <c r="C21" i="5"/>
  <c r="C21" i="4"/>
  <c r="J21" i="4"/>
</calcChain>
</file>

<file path=xl/sharedStrings.xml><?xml version="1.0" encoding="utf-8"?>
<sst xmlns="http://schemas.openxmlformats.org/spreadsheetml/2006/main" count="258" uniqueCount="128">
  <si>
    <t>Emission Year:</t>
  </si>
  <si>
    <t>Facility Name:</t>
  </si>
  <si>
    <t xml:space="preserve">            Form INV-3 EMISSION UNIT DESCRIPTION - POTENTIAL EMISSIONS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</si>
  <si>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</si>
  <si>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</si>
  <si>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</si>
  <si>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</si>
  <si>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</si>
  <si>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</si>
  <si>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</si>
  <si>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</si>
  <si>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</si>
  <si>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</si>
  <si>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</si>
  <si>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</si>
  <si>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</si>
  <si>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</si>
  <si>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</si>
  <si>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</si>
  <si>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</si>
  <si>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</si>
  <si>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</si>
  <si>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</si>
  <si>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</si>
  <si>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</si>
  <si>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7)    Raw Material</t>
  </si>
  <si>
    <t>9) Units Raw Material</t>
  </si>
  <si>
    <t>Source of E.F.</t>
  </si>
  <si>
    <t>Actual Emissions (Tons/Yr)</t>
  </si>
  <si>
    <t>ACTUAL EMISSIONS - HAPs and additional regulated air pollutants - list the name in Column 15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</si>
  <si>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</si>
  <si>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</si>
  <si>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</si>
  <si>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</si>
  <si>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</si>
  <si>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</si>
  <si>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</si>
  <si>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</si>
  <si>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</si>
  <si>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</si>
  <si>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</si>
  <si>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</si>
  <si>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Form INV-4 EMISSION UNIT DESCRIPTION - ACTUAL EMISSIONS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</si>
  <si>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</si>
  <si>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</si>
  <si>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</si>
  <si>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</si>
  <si>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</si>
  <si>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</si>
  <si>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</si>
  <si>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</si>
  <si>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</si>
  <si>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</si>
  <si>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5)    SCC Number</t>
  </si>
  <si>
    <t>6)    Description of Process</t>
  </si>
  <si>
    <t>Maximum Hourly Usage Rate</t>
  </si>
  <si>
    <t>SCC No.</t>
  </si>
  <si>
    <t>Combustion</t>
  </si>
  <si>
    <t>Process</t>
  </si>
  <si>
    <t>Description</t>
  </si>
  <si>
    <t>Fuel</t>
  </si>
  <si>
    <t>Units</t>
  </si>
  <si>
    <t>PM 2.5</t>
  </si>
  <si>
    <t>Source</t>
  </si>
  <si>
    <t>PM 10</t>
  </si>
  <si>
    <t xml:space="preserve">NOx </t>
  </si>
  <si>
    <t xml:space="preserve">VOC </t>
  </si>
  <si>
    <t>Hexane</t>
  </si>
  <si>
    <t>SCC #</t>
  </si>
  <si>
    <t>Stationary Diesel Engine ≤ 600 bhp</t>
  </si>
  <si>
    <t>Diesel Fuel Combustion &lt;600 bhp</t>
  </si>
  <si>
    <t>Diesel Fuel</t>
  </si>
  <si>
    <t>lb/MMBtu</t>
  </si>
  <si>
    <t>WebFIRE</t>
  </si>
  <si>
    <t>Stationary Diesel Engine &gt; 600 bhp</t>
  </si>
  <si>
    <t xml:space="preserve">Diesel Fuel Combustion &gt;600bhp </t>
  </si>
  <si>
    <t>DNR Memo</t>
  </si>
  <si>
    <t>Boiler &lt; 100 MMBtu/hr (No. 2 Fuel Oil)</t>
  </si>
  <si>
    <t>No. 2 Fuel Oil</t>
  </si>
  <si>
    <t>lb/1000 gal</t>
  </si>
  <si>
    <t>Boiler &lt; 100 MMBtu/hr (Natural Gas)</t>
  </si>
  <si>
    <t>Natural Gas Combustion</t>
  </si>
  <si>
    <t>Natural Gas</t>
  </si>
  <si>
    <t>lb/MMCF</t>
  </si>
  <si>
    <t>Pollutant</t>
  </si>
  <si>
    <t>Internal Combustion Engine (Natural Gas)</t>
  </si>
  <si>
    <t>Propane Combustion</t>
  </si>
  <si>
    <t>Propane</t>
  </si>
  <si>
    <t>Industrial Boiler (Propane)</t>
  </si>
  <si>
    <t>Commercial Boiler (Propane)</t>
  </si>
  <si>
    <t>EF Units</t>
  </si>
  <si>
    <t>MMCF</t>
  </si>
  <si>
    <t>1000 gal</t>
  </si>
  <si>
    <t>MMBtu</t>
  </si>
  <si>
    <t>No. 2 Fuel Oil Combustion</t>
  </si>
  <si>
    <t>Max Hourly Design Rate</t>
  </si>
  <si>
    <t>Annual Usage Limit</t>
  </si>
  <si>
    <t>%</t>
  </si>
  <si>
    <t>Percent Sulfur Content Limit</t>
  </si>
  <si>
    <t>gallons</t>
  </si>
  <si>
    <t>1000 gallons</t>
  </si>
  <si>
    <t>1 gal = 0.001 1000 gal</t>
  </si>
  <si>
    <t>ft³</t>
  </si>
  <si>
    <t>General:</t>
  </si>
  <si>
    <t>Natural Gas:</t>
  </si>
  <si>
    <t>Propane:</t>
  </si>
  <si>
    <t>1 gal = 0.140 MMBtu</t>
  </si>
  <si>
    <t>1 ft³ = 0.00105 MMBtu</t>
  </si>
  <si>
    <t>1 gal = 0.0905 MMBtu</t>
  </si>
  <si>
    <t>1 ft³ =0.000001 MMCF</t>
  </si>
  <si>
    <t>Diesel:</t>
  </si>
  <si>
    <t>No. 2 Fuel Oil:</t>
  </si>
  <si>
    <t>1.8 / 9.1</t>
  </si>
  <si>
    <t xml:space="preserve"> </t>
  </si>
  <si>
    <t>Conversion Table:</t>
  </si>
  <si>
    <t>Please fill in the yellow boxes</t>
  </si>
  <si>
    <t>therms</t>
  </si>
  <si>
    <t>1 therm = 100,000 Btu</t>
  </si>
  <si>
    <t>Conversion Table</t>
  </si>
  <si>
    <t>Diesel Fuel:</t>
  </si>
  <si>
    <t>All Fuels:</t>
  </si>
  <si>
    <t>Formaldehyde</t>
  </si>
  <si>
    <t>AP-42 Table 3.3-1</t>
  </si>
  <si>
    <t>AP-42 Table 3.4-1</t>
  </si>
  <si>
    <t>AP-42 Table 1.5-1</t>
  </si>
  <si>
    <t>Annual Fuel Usage</t>
  </si>
  <si>
    <t>8)    Actual Throughput</t>
  </si>
  <si>
    <t>Last Updated: 8-30-18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</si>
</sst>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6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/>
    <xf numFmtId="0" fontId="0" fillId="0" borderId="2" xfId="0" applyBorder="1" applyAlignment="1"/>
    <xf numFmtId="0" fontId="8" fillId="0" borderId="3" xfId="0" applyFont="1" applyBorder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8" fillId="0" borderId="3" xfId="0" applyFont="1" applyBorder="1" applyAlignment="1"/>
    <xf numFmtId="2" fontId="1" fillId="0" borderId="3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4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0" fillId="0" borderId="0" xfId="0" applyBorder="1"/>
    <xf numFmtId="2" fontId="17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/>
    <xf numFmtId="2" fontId="17" fillId="0" borderId="1" xfId="0" applyNumberFormat="1" applyFont="1" applyBorder="1"/>
    <xf numFmtId="2" fontId="20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8" fillId="0" borderId="1" xfId="0" applyFont="1" applyBorder="1" applyAlignme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Protection="1"/>
    <xf numFmtId="0" fontId="8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0" fontId="5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/>
    <xf numFmtId="0" fontId="17" fillId="0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65" fontId="16" fillId="0" borderId="5" xfId="0" applyNumberFormat="1" applyFont="1" applyBorder="1" applyAlignment="1"/>
    <xf numFmtId="0" fontId="12" fillId="0" borderId="0" xfId="0" applyFont="1" applyBorder="1" applyAlignment="1" applyProtection="1">
      <alignment horizontal="left"/>
    </xf>
    <xf numFmtId="0" fontId="21" fillId="3" borderId="1" xfId="0" applyFont="1" applyFill="1" applyBorder="1" applyAlignment="1" applyProtection="1"/>
    <xf numFmtId="0" fontId="0" fillId="0" borderId="0" xfId="0" applyBorder="1" applyAlignment="1" applyProtection="1"/>
    <xf numFmtId="0" fontId="20" fillId="0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" fontId="0" fillId="0" borderId="0" xfId="0" applyNumberFormat="1" applyProtection="1"/>
    <xf numFmtId="0" fontId="12" fillId="0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22" fillId="0" borderId="0" xfId="0" applyFont="1" applyProtection="1"/>
    <xf numFmtId="0" fontId="4" fillId="0" borderId="0" xfId="0" applyFont="1" applyFill="1" applyBorder="1" applyProtection="1"/>
    <xf numFmtId="0" fontId="7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left" wrapText="1"/>
    </xf>
    <xf numFmtId="0" fontId="11" fillId="0" borderId="7" xfId="0" applyFont="1" applyBorder="1" applyAlignment="1" applyProtection="1"/>
    <xf numFmtId="0" fontId="2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5" fillId="0" borderId="7" xfId="0" applyFont="1" applyBorder="1" applyAlignment="1">
      <alignment horizontal="left"/>
    </xf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8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8" fillId="0" borderId="7" xfId="0" applyFont="1" applyBorder="1" applyAlignment="1"/>
    <xf numFmtId="0" fontId="8" fillId="0" borderId="3" xfId="0" applyFont="1" applyBorder="1" applyAlignment="1"/>
    <xf numFmtId="0" fontId="8" fillId="0" borderId="11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15" fillId="0" borderId="7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15" fillId="0" borderId="7" xfId="0" applyFont="1" applyBorder="1" applyAlignment="1"/>
    <xf numFmtId="0" fontId="16" fillId="0" borderId="8" xfId="0" applyFont="1" applyBorder="1" applyAlignment="1"/>
    <xf numFmtId="0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5" borderId="1" xfId="0" applyFill="1" applyBorder="1" applyAlignment="1" applyProtection="1">
      <alignment horizontal="center"/>
      <protection locked="0"/>
    </xf>
    <xf numFmtId="0" fontId="4" fillId="0" borderId="7" xfId="0" applyFont="1" applyBorder="1" applyProtection="1"/>
    <xf numFmtId="0" fontId="4" fillId="3" borderId="3" xfId="0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15" fillId="0" borderId="3" xfId="0" applyFont="1" applyBorder="1" applyAlignment="1"/>
    <xf numFmtId="0" fontId="15" fillId="0" borderId="8" xfId="0" applyFont="1" applyBorder="1" applyAlignment="1"/>
    <xf numFmtId="2" fontId="15" fillId="0" borderId="7" xfId="0" applyNumberFormat="1" applyFont="1" applyBorder="1" applyAlignment="1"/>
    <xf numFmtId="2" fontId="16" fillId="0" borderId="8" xfId="0" applyNumberFormat="1" applyFont="1" applyBorder="1" applyAlignment="1"/>
    <xf numFmtId="0" fontId="8" fillId="0" borderId="7" xfId="0" applyFont="1" applyBorder="1" applyAlignment="1">
      <alignment horizontal="right"/>
    </xf>
    <xf numFmtId="0" fontId="4" fillId="0" borderId="7" xfId="0" applyNumberFormat="1" applyFont="1" applyBorder="1" applyAlignment="1"/>
    <xf numFmtId="0" fontId="4" fillId="0" borderId="3" xfId="0" applyNumberFormat="1" applyFont="1" applyBorder="1" applyAlignment="1"/>
    <xf numFmtId="0" fontId="20" fillId="0" borderId="1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8" fillId="0" borderId="9" xfId="0" applyFont="1" applyBorder="1" applyAlignment="1"/>
    <xf numFmtId="0" fontId="8" fillId="0" borderId="5" xfId="0" applyFont="1" applyBorder="1" applyAlignment="1"/>
    <xf numFmtId="0" fontId="8" fillId="0" borderId="10" xfId="0" applyFont="1" applyBorder="1" applyAlignment="1"/>
    <xf numFmtId="165" fontId="15" fillId="0" borderId="9" xfId="0" applyNumberFormat="1" applyFont="1" applyBorder="1" applyAlignment="1">
      <alignment horizontal="center"/>
    </xf>
    <xf numFmtId="165" fontId="16" fillId="0" borderId="10" xfId="0" applyNumberFormat="1" applyFont="1" applyBorder="1" applyAlignment="1"/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8" fillId="0" borderId="7" xfId="0" applyFont="1" applyBorder="1" applyAlignment="1"/>
    <xf numFmtId="0" fontId="8" fillId="0" borderId="3" xfId="0" applyFont="1" applyBorder="1" applyAlignment="1"/>
    <xf numFmtId="0" fontId="15" fillId="0" borderId="7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8" fillId="0" borderId="11" xfId="0" applyFont="1" applyBorder="1" applyAlignment="1"/>
  </cellXfs>
  <cellStyles count="1">
    <cellStyle name="Normal" xfId="0" builtinId="0"/>
  </cellStyles>
  <dxfs count="3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B1" zoomScale="115" workbookViewId="0">
      <selection activeCell="B1" sqref="B1"/>
    </sheetView>
  </sheetViews>
  <sheetFormatPr defaultRowHeight="12.75" x14ac:dyDescent="0.2"/>
  <cols>
    <col min="1" max="1" width="33" style="18" hidden="1" customWidth="1"/>
    <col min="2" max="2" width="31" style="18" customWidth="1"/>
    <col min="3" max="3" width="10.42578125" style="18" customWidth="1"/>
    <col min="4" max="4" width="9.28515625" style="18" bestFit="1" customWidth="1"/>
    <col min="5" max="5" width="9" style="18" customWidth="1"/>
    <col min="6" max="6" width="10" style="18" customWidth="1"/>
    <col min="7" max="7" width="8.28515625" style="18" customWidth="1"/>
    <col min="8" max="8" width="10.85546875" style="18" bestFit="1" customWidth="1"/>
    <col min="9" max="9" width="8.140625" style="18" customWidth="1"/>
    <col min="10" max="10" width="12.85546875" style="18" customWidth="1"/>
    <col min="11" max="11" width="13.5703125" style="18" customWidth="1"/>
    <col min="12" max="12" width="7.85546875" style="18" customWidth="1"/>
    <col min="13" max="13" width="11" style="18" bestFit="1" customWidth="1"/>
    <col min="14" max="14" width="9.140625" style="22"/>
    <col min="15" max="15" width="9.7109375" style="22" customWidth="1"/>
    <col min="16" max="16384" width="9.140625" style="18"/>
  </cols>
  <sheetData>
    <row r="1" spans="1:15" ht="15.75" x14ac:dyDescent="0.25">
      <c r="B1" s="17" t="s">
        <v>57</v>
      </c>
      <c r="C1" s="17"/>
      <c r="D1" s="17"/>
      <c r="J1" s="104" t="s">
        <v>127</v>
      </c>
    </row>
    <row r="2" spans="1:15" ht="14.25" customHeight="1" x14ac:dyDescent="0.25">
      <c r="B2" s="79" t="s">
        <v>115</v>
      </c>
      <c r="C2" s="80"/>
      <c r="D2" s="17"/>
    </row>
    <row r="3" spans="1:15" x14ac:dyDescent="0.2">
      <c r="B3" s="129" t="s">
        <v>1</v>
      </c>
      <c r="C3" s="131"/>
      <c r="D3" s="130"/>
      <c r="E3" s="107"/>
      <c r="F3" s="107"/>
      <c r="G3" s="107"/>
      <c r="H3" s="108"/>
      <c r="J3" s="99" t="s">
        <v>0</v>
      </c>
      <c r="K3" s="128"/>
    </row>
    <row r="4" spans="1:15" x14ac:dyDescent="0.2">
      <c r="E4" s="45"/>
      <c r="F4" s="45"/>
      <c r="G4" s="45"/>
      <c r="H4" s="45"/>
      <c r="I4" s="45"/>
      <c r="J4" s="45"/>
      <c r="K4" s="24"/>
      <c r="L4" s="45"/>
      <c r="M4" s="44"/>
    </row>
    <row r="5" spans="1:15" x14ac:dyDescent="0.2">
      <c r="B5" s="46"/>
      <c r="C5" s="46"/>
      <c r="D5" s="46"/>
      <c r="E5" s="28"/>
      <c r="F5" s="28"/>
      <c r="G5" s="28"/>
      <c r="H5" s="28"/>
      <c r="I5" s="28"/>
      <c r="J5" s="28"/>
      <c r="K5" s="28"/>
    </row>
    <row r="6" spans="1:15" s="70" customFormat="1" ht="38.25" customHeight="1" x14ac:dyDescent="0.2">
      <c r="B6" s="26" t="s">
        <v>58</v>
      </c>
      <c r="C6" s="26" t="s">
        <v>95</v>
      </c>
      <c r="D6" s="26" t="s">
        <v>61</v>
      </c>
      <c r="E6" s="26" t="s">
        <v>125</v>
      </c>
      <c r="F6" s="26" t="s">
        <v>61</v>
      </c>
      <c r="G6" s="71" t="s">
        <v>56</v>
      </c>
      <c r="H6" s="26" t="s">
        <v>84</v>
      </c>
      <c r="I6" s="26" t="s">
        <v>7</v>
      </c>
      <c r="J6" s="26" t="s">
        <v>61</v>
      </c>
      <c r="K6" s="106" t="s">
        <v>63</v>
      </c>
    </row>
    <row r="7" spans="1:15" x14ac:dyDescent="0.2">
      <c r="A7" s="95"/>
      <c r="B7" s="38"/>
      <c r="C7" s="139"/>
      <c r="D7" s="81" t="str">
        <f>IF(B7&gt;0,LOOKUP(B7,'Emission Factors'!A2:A8,'Emission Factors'!D2:D8)&amp;"/hr", " ")</f>
        <v xml:space="preserve"> </v>
      </c>
      <c r="E7" s="41"/>
      <c r="F7" s="49" t="str">
        <f>IF(B7&gt;0,LOOKUP(B7,'Emission Factors'!A2:A8,'Emission Factors'!D2:D8)," ")</f>
        <v xml:space="preserve"> </v>
      </c>
      <c r="G7" s="49" t="str">
        <f>IF(B7&gt;0,LOOKUP(B7,'Emission Factors'!A2:A8,'Emission Factors'!X2:X8)," ")</f>
        <v xml:space="preserve"> </v>
      </c>
      <c r="H7" s="100" t="s">
        <v>49</v>
      </c>
      <c r="I7" s="49" t="str">
        <f>IF(B7=0," ",IF(LOOKUP(B7,'Emission Factors'!A2:A8,'Emission Factors'!F2:F8)&gt;0,LOOKUP(B7,'Emission Factors'!A2:A8,'Emission Factors'!F2:F8)," "))</f>
        <v xml:space="preserve"> </v>
      </c>
      <c r="J7" s="49" t="str">
        <f>IF(B7=0," ",IF(LOOKUP(B7,'Emission Factors'!A2:A8,'Emission Factors'!F2:F8)&gt;0,LOOKUP($B$7,'Emission Factors'!$A$2:$A$8,'Emission Factors'!$E$2:$E$8)," "))</f>
        <v xml:space="preserve"> </v>
      </c>
      <c r="K7" s="105" t="str">
        <f>IF(B7=0," ",IF(LOOKUP(B7,'Emission Factors'!A2:A8,'Emission Factors'!F2:F8)&gt;0,LOOKUP($B$7,'Emission Factors'!$A$2:$A$8,'Emission Factors'!G2:G8)," "))</f>
        <v xml:space="preserve"> </v>
      </c>
    </row>
    <row r="8" spans="1:15" s="30" customFormat="1" x14ac:dyDescent="0.2">
      <c r="B8" s="69" t="str">
        <f>IF(B7="Boiler &lt; 100 MMBtu/hr (No. 2 Fuel Oil)","% Sulfur in Fuel Oil:",IF(B7="Stationary Diesel Engine &gt; 600 bhp","% Sulfur in Fuel Oil:",IF(B7="Commercial Boiler (Propane)","Sulfur Content in gr/100 cubic ft:",IF(B7="Industrial Boiler (Propane)","Sulfur Content in gr/100 cubic ft:"," "))))</f>
        <v xml:space="preserve"> </v>
      </c>
      <c r="C8" s="83"/>
      <c r="D8" s="69"/>
      <c r="H8" s="100" t="s">
        <v>34</v>
      </c>
      <c r="I8" s="49" t="str">
        <f>IF(B7=0," ",IF(LOOKUP(B7,'Emission Factors'!A2:A8,'Emission Factors'!H2:H8)&gt;0,LOOKUP(B7,'Emission Factors'!A2:A8,'Emission Factors'!H2:H8)," "))</f>
        <v xml:space="preserve"> </v>
      </c>
      <c r="J8" s="49" t="str">
        <f>IF(B7=0," ",IF(LOOKUP(B7,'Emission Factors'!A2:A8,'Emission Factors'!H2:H8)&gt;0,LOOKUP($B$7,'Emission Factors'!$A$2:$A$8,'Emission Factors'!$E$2:$E$8)," "))</f>
        <v xml:space="preserve"> </v>
      </c>
      <c r="K8" s="105" t="str">
        <f>IF(B7=0," ",IF(LOOKUP(B7,'Emission Factors'!A2:A8,'Emission Factors'!H2:H8)&gt;0,LOOKUP($B$7,'Emission Factors'!$A$2:$A$8,'Emission Factors'!I2:I8)," "))</f>
        <v xml:space="preserve"> </v>
      </c>
      <c r="N8" s="31"/>
      <c r="O8" s="31"/>
    </row>
    <row r="9" spans="1:15" x14ac:dyDescent="0.2">
      <c r="A9" s="51" t="e">
        <f>LOOKUP(B7,'Emission Factors'!A2:A8, 'Emission Factors'!B2:B8)</f>
        <v>#N/A</v>
      </c>
      <c r="B9" s="78" t="str">
        <f>IF(B7="Internal Combustion Engine (Natural Gas)","Control Equipment - Non-Catalytic Reduction (N) or Catalytic Reduction (C):"," ")</f>
        <v xml:space="preserve"> </v>
      </c>
      <c r="C9" s="69"/>
      <c r="E9" s="50"/>
      <c r="F9" s="84"/>
      <c r="G9" s="50"/>
      <c r="H9" s="100" t="s">
        <v>18</v>
      </c>
      <c r="I9" s="49" t="str">
        <f>IF(B7=0," ",IF(LOOKUP(B7,'Emission Factors'!A2:A8,'Emission Factors'!J2:J8)&gt;0,LOOKUP(B7,'Emission Factors'!A2:A8,'Emission Factors'!J2:J8)," "))</f>
        <v xml:space="preserve"> </v>
      </c>
      <c r="J9" s="49" t="str">
        <f>IF(B7=0," ",IF(LOOKUP(B7,'Emission Factors'!A2:A8,'Emission Factors'!J2:J8)&gt;0,LOOKUP($B$7,'Emission Factors'!$A$2:$A$8,'Emission Factors'!$E$2:$E$8)," "))</f>
        <v xml:space="preserve"> </v>
      </c>
      <c r="K9" s="105" t="str">
        <f>IF(B7=0," ",IF(B7=0," ",IF(LOOKUP(B7,'Emission Factors'!A2:A8,'Emission Factors'!J2:J8)&gt;0,LOOKUP($B$7,'Emission Factors'!$A$2:$A$8,'Emission Factors'!K2:K8)," ")))</f>
        <v xml:space="preserve"> </v>
      </c>
      <c r="N9" s="23"/>
    </row>
    <row r="10" spans="1:15" s="28" customFormat="1" x14ac:dyDescent="0.2">
      <c r="A10" s="51" t="e">
        <f>LOOKUP(B7,'Emission Factors'!A2:A8, 'Emission Factors'!C2:C8)</f>
        <v>#N/A</v>
      </c>
      <c r="B10" s="18"/>
      <c r="C10" s="18"/>
      <c r="D10" s="18"/>
      <c r="E10" s="18" t="s">
        <v>113</v>
      </c>
      <c r="F10" s="18"/>
      <c r="G10" s="18"/>
      <c r="H10" s="100" t="s">
        <v>19</v>
      </c>
      <c r="I10" s="49" t="str">
        <f>IF(B7=0," ",IF(LOOKUP(B7,'Emission Factors'!A2:A8,'Emission Factors'!L2:L8)&gt;0,LOOKUP(B7,'Emission Factors'!A2:A8,'Emission Factors'!L2:L8)," "))</f>
        <v xml:space="preserve"> </v>
      </c>
      <c r="J10" s="49" t="str">
        <f>IF(B7=0," ",IF(LOOKUP(B7,'Emission Factors'!A2:A8,'Emission Factors'!L2:L8)&gt;0,LOOKUP($B$7,'Emission Factors'!$A$2:$A$8,'Emission Factors'!$E$2:$E$8)," "))</f>
        <v xml:space="preserve"> </v>
      </c>
      <c r="K10" s="105" t="str">
        <f>IF(B7=0," ",IF(LOOKUP(B7,'Emission Factors'!A2:A8,'Emission Factors'!L2:L8)&gt;0,LOOKUP($B$7,'Emission Factors'!$A$2:$A$8,'Emission Factors'!M2:M8)," "))</f>
        <v xml:space="preserve"> </v>
      </c>
      <c r="N10" s="27"/>
      <c r="O10" s="27"/>
    </row>
    <row r="11" spans="1:15" s="28" customFormat="1" x14ac:dyDescent="0.2">
      <c r="B11" s="18"/>
      <c r="C11" s="18"/>
      <c r="D11" s="18"/>
      <c r="E11" s="18"/>
      <c r="F11" s="18"/>
      <c r="G11" s="18"/>
      <c r="H11" s="100" t="s">
        <v>20</v>
      </c>
      <c r="I11" s="49" t="str">
        <f>IF(B7=0," ",IF(LOOKUP(B7,'Emission Factors'!A2:A8,'Emission Factors'!N2:N8)&gt;0,LOOKUP(B7,'Emission Factors'!A2:A8,'Emission Factors'!N2:N8)," "))</f>
        <v xml:space="preserve"> </v>
      </c>
      <c r="J11" s="49" t="str">
        <f>IF(B7=0," ",IF(LOOKUP(B7,'Emission Factors'!A2:A8,'Emission Factors'!N2:N8)&gt;0,LOOKUP($B$7,'Emission Factors'!$A$2:$A$8,'Emission Factors'!$E$2:$E$8)," "))</f>
        <v xml:space="preserve"> </v>
      </c>
      <c r="K11" s="105" t="str">
        <f>IF(B7=0," ",IF(LOOKUP(B7,'Emission Factors'!A2:A8,'Emission Factors'!N2:N8)&gt;0,LOOKUP($B$7,'Emission Factors'!$A$2:$A$8,'Emission Factors'!O2:O8)," "))</f>
        <v xml:space="preserve"> </v>
      </c>
      <c r="M11" s="27"/>
      <c r="N11" s="27"/>
    </row>
    <row r="12" spans="1:15" x14ac:dyDescent="0.2">
      <c r="A12" s="82" t="s">
        <v>80</v>
      </c>
      <c r="H12" s="100" t="s">
        <v>21</v>
      </c>
      <c r="I12" s="49" t="str">
        <f>IF(B7=0," ",IF(LOOKUP(B7,'Emission Factors'!A2:A8,'Emission Factors'!P2:P8)&gt;0,LOOKUP(B7,'Emission Factors'!A2:A8,'Emission Factors'!P2:P8)," "))</f>
        <v xml:space="preserve"> </v>
      </c>
      <c r="J12" s="49" t="str">
        <f>IF(B7=0," ",IF(LOOKUP(B7,'Emission Factors'!A2:A8,'Emission Factors'!P2:P8)&gt;0,LOOKUP($B$7,'Emission Factors'!$A$2:$A$8,'Emission Factors'!$E$2:$E$8)," "))</f>
        <v xml:space="preserve"> </v>
      </c>
      <c r="K12" s="105" t="str">
        <f>IF(B7=0," ",IF(LOOKUP(B7,'Emission Factors'!A2:A8,'Emission Factors'!P2:P8)&gt;0,LOOKUP($B$7,'Emission Factors'!$A$2:$A$8,'Emission Factors'!Q2:Q8)," "))</f>
        <v xml:space="preserve"> </v>
      </c>
      <c r="N12" s="18"/>
      <c r="O12" s="18"/>
    </row>
    <row r="13" spans="1:15" x14ac:dyDescent="0.2">
      <c r="A13" s="82" t="s">
        <v>77</v>
      </c>
      <c r="H13" s="100" t="s">
        <v>23</v>
      </c>
      <c r="I13" s="66" t="str">
        <f>IF(B7=0," ",IF(F9="N",1.8,IF(F9="C",9.1,IF(LOOKUP(B7,'Emission Factors'!A2:A8,'Emission Factors'!R2:R8)&gt;0,LOOKUP(B7,'Emission Factors'!A2:A8,'Emission Factors'!R2:R8)," "))))</f>
        <v xml:space="preserve"> </v>
      </c>
      <c r="J13" s="49" t="str">
        <f>IF(B7=0," ",IF(LOOKUP(B7,'Emission Factors'!A2:A8,'Emission Factors'!R2:R8)&gt;0,LOOKUP($B$7,'Emission Factors'!$A$2:$A$8,'Emission Factors'!$E$2:$E$8)," "))</f>
        <v xml:space="preserve"> </v>
      </c>
      <c r="K13" s="105" t="str">
        <f>IF(B7=0," ",IF(LOOKUP(B7,'Emission Factors'!A2:A8,'Emission Factors'!R2:R8)&gt;0,LOOKUP($B$7,'Emission Factors'!$A$2:$A$8,'Emission Factors'!S2:S8)," "))</f>
        <v xml:space="preserve"> </v>
      </c>
      <c r="N13" s="18"/>
      <c r="O13" s="18"/>
    </row>
    <row r="14" spans="1:15" ht="14.25" customHeight="1" x14ac:dyDescent="0.2">
      <c r="A14" s="82" t="s">
        <v>89</v>
      </c>
      <c r="D14" s="48"/>
      <c r="H14" s="100" t="s">
        <v>67</v>
      </c>
      <c r="I14" s="66" t="str">
        <f>IF(B7=0," ",IF(LOOKUP(B7,'Emission Factors'!A2:A8,'Emission Factors'!T2:T8)&gt;0,LOOKUP(B7,'Emission Factors'!A2:A8,'Emission Factors'!T2:T8)," "))</f>
        <v xml:space="preserve"> </v>
      </c>
      <c r="J14" s="49" t="str">
        <f>IF(B7=0," ",IF(LOOKUP(B7,'Emission Factors'!A2:A8,'Emission Factors'!T2:T8)&gt;0,LOOKUP($B$7,'Emission Factors'!$A$2:$A$8,'Emission Factors'!$E$2:$E$8)," "))</f>
        <v xml:space="preserve"> </v>
      </c>
      <c r="K14" s="105" t="str">
        <f>IF(B7=0," ",IF(LOOKUP(B7,'Emission Factors'!A2:A8,'Emission Factors'!T2:T8)&gt;0,LOOKUP($B$7,'Emission Factors'!$A$2:$A$8,'Emission Factors'!U2:U8)," "))</f>
        <v xml:space="preserve"> </v>
      </c>
      <c r="N14" s="18"/>
      <c r="O14" s="18"/>
    </row>
    <row r="15" spans="1:15" x14ac:dyDescent="0.2">
      <c r="A15" s="82" t="s">
        <v>88</v>
      </c>
      <c r="B15" s="48"/>
      <c r="C15" s="48"/>
      <c r="H15" s="101" t="s">
        <v>121</v>
      </c>
      <c r="I15" s="49" t="str">
        <f>IF(B7=0," ",IF(LOOKUP(B7,'Emission Factors'!A2:A8,'Emission Factors'!V2:V8)&gt;0,LOOKUP(B7,'Emission Factors'!A2:A8,'Emission Factors'!V2:V8)," "))</f>
        <v xml:space="preserve"> </v>
      </c>
      <c r="J15" s="49" t="str">
        <f>IF(B7=0," ",IF(LOOKUP(B7,'Emission Factors'!A2:A8,'Emission Factors'!V2:V8)&gt;0,LOOKUP($B$7,'Emission Factors'!$A$2:$A$8,'Emission Factors'!$E$2:$E$8)," "))</f>
        <v xml:space="preserve"> </v>
      </c>
      <c r="K15" s="105" t="str">
        <f>IF(B7=0," ",IF(LOOKUP(B7,'Emission Factors'!A2:A8,'Emission Factors'!V2:V8)&gt;0,LOOKUP($B$7,'Emission Factors'!$A$2:$A$8,'Emission Factors'!U2:U8)," "))</f>
        <v xml:space="preserve"> </v>
      </c>
    </row>
    <row r="16" spans="1:15" x14ac:dyDescent="0.2">
      <c r="A16" s="82" t="s">
        <v>85</v>
      </c>
      <c r="I16" s="47"/>
    </row>
    <row r="17" spans="1:15" x14ac:dyDescent="0.2">
      <c r="A17" s="82" t="s">
        <v>74</v>
      </c>
      <c r="B17" s="25" t="s">
        <v>114</v>
      </c>
    </row>
    <row r="18" spans="1:15" x14ac:dyDescent="0.2">
      <c r="A18" s="82" t="s">
        <v>69</v>
      </c>
      <c r="B18" s="75" t="s">
        <v>103</v>
      </c>
      <c r="C18" s="85"/>
      <c r="D18" s="29" t="s">
        <v>99</v>
      </c>
      <c r="E18" s="93">
        <f>C18/1000</f>
        <v>0</v>
      </c>
      <c r="F18" s="29" t="s">
        <v>100</v>
      </c>
      <c r="G18" s="73" t="s">
        <v>101</v>
      </c>
    </row>
    <row r="19" spans="1:15" x14ac:dyDescent="0.2">
      <c r="B19" s="25"/>
      <c r="C19" s="85"/>
      <c r="D19" s="29" t="s">
        <v>102</v>
      </c>
      <c r="E19" s="93">
        <f>C19/1000000</f>
        <v>0</v>
      </c>
      <c r="F19" s="29" t="s">
        <v>91</v>
      </c>
      <c r="G19" s="73" t="s">
        <v>109</v>
      </c>
    </row>
    <row r="20" spans="1:15" x14ac:dyDescent="0.2">
      <c r="B20" s="76" t="s">
        <v>110</v>
      </c>
      <c r="C20" s="85"/>
      <c r="D20" s="29" t="s">
        <v>99</v>
      </c>
      <c r="E20" s="93">
        <f>C20*0.14</f>
        <v>0</v>
      </c>
      <c r="F20" s="29" t="s">
        <v>93</v>
      </c>
      <c r="G20" s="73" t="s">
        <v>106</v>
      </c>
    </row>
    <row r="21" spans="1:15" x14ac:dyDescent="0.2">
      <c r="B21" s="76"/>
      <c r="C21" s="85"/>
      <c r="D21" s="29" t="s">
        <v>93</v>
      </c>
      <c r="E21" s="93">
        <f>C21/0.14</f>
        <v>0</v>
      </c>
      <c r="F21" s="29" t="s">
        <v>99</v>
      </c>
      <c r="G21" s="73"/>
    </row>
    <row r="22" spans="1:15" x14ac:dyDescent="0.2">
      <c r="A22" s="82"/>
      <c r="B22" s="76" t="s">
        <v>104</v>
      </c>
      <c r="C22" s="85"/>
      <c r="D22" s="29" t="s">
        <v>102</v>
      </c>
      <c r="E22" s="93">
        <f>C22*0.00105</f>
        <v>0</v>
      </c>
      <c r="F22" s="29" t="s">
        <v>93</v>
      </c>
      <c r="G22" s="73" t="s">
        <v>107</v>
      </c>
    </row>
    <row r="23" spans="1:15" x14ac:dyDescent="0.2">
      <c r="A23" s="82"/>
      <c r="B23" s="76"/>
      <c r="C23" s="85"/>
      <c r="D23" s="29" t="s">
        <v>93</v>
      </c>
      <c r="E23" s="93">
        <f>C23/0.00105</f>
        <v>0</v>
      </c>
      <c r="F23" s="29" t="s">
        <v>102</v>
      </c>
      <c r="G23" s="73"/>
    </row>
    <row r="24" spans="1:15" x14ac:dyDescent="0.2">
      <c r="A24" s="82"/>
      <c r="B24" s="76"/>
      <c r="C24" s="85"/>
      <c r="D24" s="91" t="s">
        <v>93</v>
      </c>
      <c r="E24" s="93">
        <f>C24/0.00105/1000000</f>
        <v>0</v>
      </c>
      <c r="F24" s="91" t="s">
        <v>91</v>
      </c>
      <c r="G24" s="73" t="s">
        <v>113</v>
      </c>
    </row>
    <row r="25" spans="1:15" x14ac:dyDescent="0.2">
      <c r="B25" s="76"/>
      <c r="C25" s="85"/>
      <c r="D25" s="91" t="s">
        <v>116</v>
      </c>
      <c r="E25" s="94">
        <f>C25*100000/1000000/0.00105/1000000</f>
        <v>0</v>
      </c>
      <c r="F25" s="91" t="s">
        <v>91</v>
      </c>
      <c r="G25" s="92" t="s">
        <v>117</v>
      </c>
    </row>
    <row r="26" spans="1:15" x14ac:dyDescent="0.2">
      <c r="B26" s="76" t="s">
        <v>111</v>
      </c>
      <c r="C26" s="85"/>
      <c r="D26" s="29" t="s">
        <v>99</v>
      </c>
      <c r="E26" s="93">
        <f>C26*0.14</f>
        <v>0</v>
      </c>
      <c r="F26" s="29" t="s">
        <v>93</v>
      </c>
      <c r="G26" s="73" t="s">
        <v>106</v>
      </c>
    </row>
    <row r="27" spans="1:15" x14ac:dyDescent="0.2">
      <c r="B27" s="76"/>
      <c r="C27" s="85"/>
      <c r="D27" s="29" t="s">
        <v>93</v>
      </c>
      <c r="E27" s="93">
        <f>C27/0.14</f>
        <v>0</v>
      </c>
      <c r="F27" s="29" t="s">
        <v>99</v>
      </c>
      <c r="G27" s="73"/>
      <c r="L27" s="22"/>
      <c r="N27" s="18"/>
      <c r="O27" s="18"/>
    </row>
    <row r="28" spans="1:15" x14ac:dyDescent="0.2">
      <c r="B28" s="76" t="s">
        <v>105</v>
      </c>
      <c r="C28" s="85"/>
      <c r="D28" s="29" t="s">
        <v>99</v>
      </c>
      <c r="E28" s="93">
        <f>C28*0.0905</f>
        <v>0</v>
      </c>
      <c r="F28" s="29" t="s">
        <v>93</v>
      </c>
      <c r="G28" s="73" t="s">
        <v>108</v>
      </c>
    </row>
    <row r="29" spans="1:15" x14ac:dyDescent="0.2">
      <c r="C29" s="85"/>
      <c r="D29" s="29" t="s">
        <v>93</v>
      </c>
      <c r="E29" s="93">
        <f>C29/0.0905</f>
        <v>0</v>
      </c>
      <c r="F29" s="29" t="s">
        <v>99</v>
      </c>
      <c r="H29" s="73"/>
    </row>
    <row r="32" spans="1:15" x14ac:dyDescent="0.2">
      <c r="E32" s="47"/>
      <c r="F32" s="47"/>
    </row>
    <row r="33" spans="6:6" x14ac:dyDescent="0.2">
      <c r="F33" s="47"/>
    </row>
  </sheetData>
  <sheetProtection algorithmName="SHA-512" hashValue="6TOC5FXH7gF7/uFKT08gucb2seuwtKbA+b9ABO9RJExrlINii7dmZ7CzuUbVxwtQugD+PsXkTjRdtcleeaIzDQ==" saltValue="ZzB/Oa/Nb1FBRvAMms+4qA==" spinCount="100000" sheet="1" objects="1" scenarios="1"/>
  <phoneticPr fontId="0" type="noConversion"/>
  <conditionalFormatting sqref="C8">
    <cfRule type="cellIs" dxfId="2" priority="1" stopIfTrue="1" operator="equal">
      <formula>$B$8=" "</formula>
    </cfRule>
  </conditionalFormatting>
  <conditionalFormatting sqref="B8">
    <cfRule type="cellIs" dxfId="1" priority="2" stopIfTrue="1" operator="equal">
      <formula>$B$8=" "</formula>
    </cfRule>
  </conditionalFormatting>
  <conditionalFormatting sqref="F9">
    <cfRule type="cellIs" dxfId="0" priority="3" stopIfTrue="1" operator="equal">
      <formula>$B$9=" "</formula>
    </cfRule>
  </conditionalFormatting>
  <dataValidations count="1">
    <dataValidation type="list" allowBlank="1" showInputMessage="1" showErrorMessage="1" sqref="B7">
      <formula1>$A$12:$A$18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workbookViewId="0">
      <selection activeCell="A32" sqref="A32"/>
    </sheetView>
  </sheetViews>
  <sheetFormatPr defaultRowHeight="12.75" x14ac:dyDescent="0.2"/>
  <cols>
    <col min="1" max="1" width="33.140625" style="18" customWidth="1"/>
    <col min="2" max="2" width="11.28515625" style="18" bestFit="1" customWidth="1"/>
    <col min="3" max="3" width="12.42578125" style="18" customWidth="1"/>
    <col min="4" max="4" width="9.140625" style="18"/>
    <col min="5" max="5" width="10.42578125" style="18" bestFit="1" customWidth="1"/>
    <col min="6" max="6" width="16" style="18" bestFit="1" customWidth="1"/>
    <col min="7" max="7" width="9.140625" style="18"/>
    <col min="8" max="8" width="6.5703125" style="18" bestFit="1" customWidth="1"/>
    <col min="9" max="9" width="10.42578125" style="18" bestFit="1" customWidth="1"/>
    <col min="10" max="10" width="16" style="18" bestFit="1" customWidth="1"/>
    <col min="11" max="16384" width="9.140625" style="18"/>
  </cols>
  <sheetData>
    <row r="1" spans="1:7" ht="15.75" x14ac:dyDescent="0.25">
      <c r="A1" s="17" t="s">
        <v>30</v>
      </c>
    </row>
    <row r="2" spans="1:7" x14ac:dyDescent="0.2">
      <c r="A2" s="25" t="s">
        <v>48</v>
      </c>
      <c r="B2" s="140"/>
      <c r="C2" s="141"/>
      <c r="D2" s="141"/>
      <c r="E2" s="141"/>
      <c r="F2" s="142"/>
    </row>
    <row r="4" spans="1:7" x14ac:dyDescent="0.2">
      <c r="A4" s="19" t="s">
        <v>46</v>
      </c>
    </row>
    <row r="5" spans="1:7" x14ac:dyDescent="0.2">
      <c r="B5" s="20" t="s">
        <v>31</v>
      </c>
      <c r="C5" s="20" t="s">
        <v>32</v>
      </c>
      <c r="G5" s="24"/>
    </row>
    <row r="6" spans="1:7" x14ac:dyDescent="0.2">
      <c r="A6" s="16" t="s">
        <v>33</v>
      </c>
      <c r="B6" s="74"/>
      <c r="C6" s="74"/>
    </row>
    <row r="7" spans="1:7" x14ac:dyDescent="0.2">
      <c r="A7" s="16" t="s">
        <v>34</v>
      </c>
      <c r="B7" s="74"/>
      <c r="C7" s="74"/>
    </row>
    <row r="8" spans="1:7" x14ac:dyDescent="0.2">
      <c r="A8" s="16" t="s">
        <v>35</v>
      </c>
      <c r="B8" s="74"/>
      <c r="C8" s="74"/>
    </row>
    <row r="9" spans="1:7" x14ac:dyDescent="0.2">
      <c r="A9" s="16" t="s">
        <v>41</v>
      </c>
      <c r="B9" s="74"/>
      <c r="C9" s="74"/>
    </row>
    <row r="10" spans="1:7" x14ac:dyDescent="0.2">
      <c r="A10" s="16" t="s">
        <v>36</v>
      </c>
      <c r="B10" s="74"/>
      <c r="C10" s="74"/>
    </row>
    <row r="11" spans="1:7" x14ac:dyDescent="0.2">
      <c r="A11" s="16" t="s">
        <v>37</v>
      </c>
      <c r="B11" s="74"/>
      <c r="C11" s="74"/>
    </row>
    <row r="12" spans="1:7" x14ac:dyDescent="0.2">
      <c r="A12" s="16" t="s">
        <v>38</v>
      </c>
      <c r="B12" s="74"/>
      <c r="C12" s="74"/>
    </row>
    <row r="13" spans="1:7" x14ac:dyDescent="0.2">
      <c r="A13" s="16" t="s">
        <v>39</v>
      </c>
      <c r="B13" s="74"/>
      <c r="C13" s="74"/>
    </row>
    <row r="14" spans="1:7" x14ac:dyDescent="0.2">
      <c r="A14" s="16" t="s">
        <v>40</v>
      </c>
      <c r="B14" s="74"/>
      <c r="C14" s="74"/>
    </row>
    <row r="16" spans="1:7" x14ac:dyDescent="0.2">
      <c r="A16" s="19" t="s">
        <v>45</v>
      </c>
      <c r="D16" s="21"/>
    </row>
    <row r="17" spans="1:7" x14ac:dyDescent="0.2">
      <c r="A17" s="39" t="s">
        <v>55</v>
      </c>
      <c r="B17" s="74"/>
      <c r="C17" s="20" t="str">
        <f>Combustion!F7&amp;"/Hr"</f>
        <v xml:space="preserve"> /Hr</v>
      </c>
      <c r="D17" s="21"/>
    </row>
    <row r="18" spans="1:7" x14ac:dyDescent="0.2">
      <c r="A18" s="16" t="s">
        <v>96</v>
      </c>
      <c r="B18" s="74"/>
      <c r="C18" s="20" t="str">
        <f>Combustion!F7&amp;"/Yr"</f>
        <v xml:space="preserve"> /Yr</v>
      </c>
    </row>
    <row r="19" spans="1:7" x14ac:dyDescent="0.2">
      <c r="A19" s="16" t="s">
        <v>98</v>
      </c>
      <c r="B19" s="74"/>
      <c r="C19" s="20" t="s">
        <v>97</v>
      </c>
    </row>
    <row r="20" spans="1:7" x14ac:dyDescent="0.2">
      <c r="A20" s="16" t="s">
        <v>43</v>
      </c>
      <c r="B20" s="74"/>
      <c r="C20" s="20" t="s">
        <v>44</v>
      </c>
    </row>
    <row r="21" spans="1:7" x14ac:dyDescent="0.2">
      <c r="B21" s="18" t="s">
        <v>47</v>
      </c>
    </row>
    <row r="23" spans="1:7" x14ac:dyDescent="0.2">
      <c r="B23" s="96" t="s">
        <v>118</v>
      </c>
    </row>
    <row r="24" spans="1:7" x14ac:dyDescent="0.2">
      <c r="B24" s="18" t="s">
        <v>120</v>
      </c>
      <c r="C24" s="85"/>
      <c r="D24" s="29" t="s">
        <v>99</v>
      </c>
      <c r="E24" s="93">
        <f>C24/1000</f>
        <v>0</v>
      </c>
      <c r="F24" s="29" t="s">
        <v>100</v>
      </c>
      <c r="G24" s="73" t="s">
        <v>101</v>
      </c>
    </row>
    <row r="25" spans="1:7" x14ac:dyDescent="0.2">
      <c r="B25" s="18" t="s">
        <v>119</v>
      </c>
      <c r="C25" s="85"/>
      <c r="D25" s="29" t="s">
        <v>99</v>
      </c>
      <c r="E25" s="93">
        <f>C25*0.14</f>
        <v>0</v>
      </c>
      <c r="F25" s="29" t="s">
        <v>93</v>
      </c>
      <c r="G25" s="73" t="s">
        <v>106</v>
      </c>
    </row>
  </sheetData>
  <sheetProtection password="C20E" sheet="1" objects="1" scenarios="1"/>
  <mergeCells count="1">
    <mergeCell ref="B2:F2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15" workbookViewId="0">
      <selection sqref="A1:I1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0" hidden="1" customWidth="1"/>
    <col min="7" max="7" width="9.7109375" customWidth="1"/>
    <col min="10" max="11" width="8.7109375" customWidth="1"/>
  </cols>
  <sheetData>
    <row r="1" spans="1:11" x14ac:dyDescent="0.2">
      <c r="A1" s="147" t="s">
        <v>2</v>
      </c>
      <c r="B1" s="148"/>
      <c r="C1" s="148"/>
      <c r="D1" s="148"/>
      <c r="E1" s="148"/>
      <c r="F1" s="148"/>
      <c r="G1" s="148"/>
      <c r="H1" s="148"/>
      <c r="I1" s="148"/>
    </row>
    <row r="2" spans="1:11" x14ac:dyDescent="0.2">
      <c r="A2" s="8"/>
      <c r="B2" s="9"/>
      <c r="C2" s="9"/>
      <c r="D2" s="9"/>
      <c r="E2" s="9"/>
      <c r="F2" s="9"/>
      <c r="G2" s="9"/>
      <c r="H2" s="9"/>
      <c r="I2" s="9"/>
    </row>
    <row r="3" spans="1:11" s="32" customFormat="1" x14ac:dyDescent="0.2">
      <c r="A3" s="157" t="s">
        <v>50</v>
      </c>
      <c r="B3" s="158"/>
      <c r="C3" s="145"/>
      <c r="D3" s="159" t="str">
        <f>Combustion!G7</f>
        <v xml:space="preserve"> </v>
      </c>
      <c r="E3" s="160"/>
      <c r="F3" s="160"/>
      <c r="G3" s="160"/>
      <c r="H3" s="160"/>
      <c r="I3" s="160"/>
      <c r="J3" s="160"/>
      <c r="K3" s="161"/>
    </row>
    <row r="4" spans="1:11" s="32" customFormat="1" x14ac:dyDescent="0.2">
      <c r="A4" s="157" t="s">
        <v>51</v>
      </c>
      <c r="B4" s="158"/>
      <c r="C4" s="151"/>
      <c r="D4" s="159" t="e">
        <f>Combustion!A9</f>
        <v>#N/A</v>
      </c>
      <c r="E4" s="160"/>
      <c r="F4" s="160"/>
      <c r="G4" s="160"/>
      <c r="H4" s="160"/>
      <c r="I4" s="160"/>
      <c r="J4" s="160"/>
      <c r="K4" s="161"/>
    </row>
    <row r="5" spans="1:11" s="32" customFormat="1" x14ac:dyDescent="0.2">
      <c r="A5" s="157" t="s">
        <v>52</v>
      </c>
      <c r="B5" s="158"/>
      <c r="C5" s="162"/>
      <c r="D5" s="159" t="e">
        <f>Combustion!A10</f>
        <v>#N/A</v>
      </c>
      <c r="E5" s="160"/>
      <c r="F5" s="160"/>
      <c r="G5" s="160"/>
      <c r="H5" s="160"/>
      <c r="I5" s="160"/>
      <c r="J5" s="160"/>
      <c r="K5" s="161"/>
    </row>
    <row r="6" spans="1:11" x14ac:dyDescent="0.2">
      <c r="A6" s="149" t="s">
        <v>3</v>
      </c>
      <c r="B6" s="150"/>
      <c r="C6" s="151"/>
      <c r="D6" s="152">
        <f>IF('Permit Limits'!B17&gt;0,'Permit Limits'!B17,Combustion!C7)</f>
        <v>0</v>
      </c>
      <c r="E6" s="153"/>
      <c r="F6" s="77"/>
      <c r="G6" s="154" t="str">
        <f>Combustion!F7</f>
        <v xml:space="preserve"> </v>
      </c>
      <c r="H6" s="155"/>
      <c r="I6" s="156"/>
      <c r="J6" s="149" t="s">
        <v>4</v>
      </c>
      <c r="K6" s="151"/>
    </row>
    <row r="7" spans="1:11" x14ac:dyDescent="0.2">
      <c r="A7" s="14"/>
      <c r="B7" s="14"/>
      <c r="C7" s="14"/>
      <c r="D7" s="15"/>
      <c r="E7" s="12"/>
      <c r="F7" s="12"/>
      <c r="G7" s="10"/>
      <c r="H7" s="10"/>
      <c r="I7" s="10"/>
      <c r="J7" s="11"/>
      <c r="K7" s="11"/>
    </row>
    <row r="8" spans="1:11" x14ac:dyDescent="0.2">
      <c r="A8" s="143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x14ac:dyDescent="0.2">
      <c r="A9" s="1">
        <v>14</v>
      </c>
      <c r="B9" s="1">
        <v>15</v>
      </c>
      <c r="C9" s="1">
        <v>16</v>
      </c>
      <c r="D9" s="1">
        <v>17</v>
      </c>
      <c r="E9" s="1">
        <v>18</v>
      </c>
      <c r="F9" s="1"/>
      <c r="G9" s="1">
        <v>19</v>
      </c>
      <c r="H9" s="1">
        <v>20</v>
      </c>
      <c r="I9" s="1">
        <v>21</v>
      </c>
      <c r="J9" s="1">
        <v>22</v>
      </c>
      <c r="K9" s="1">
        <v>23</v>
      </c>
    </row>
    <row r="10" spans="1:11" ht="67.5" x14ac:dyDescent="0.2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/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</row>
    <row r="11" spans="1:11" x14ac:dyDescent="0.2">
      <c r="A11" s="6" t="s">
        <v>16</v>
      </c>
      <c r="B11" s="33" t="str">
        <f>IF(Combustion!I7&gt;0,Combustion!I7," ")</f>
        <v xml:space="preserve"> </v>
      </c>
      <c r="C11" s="34" t="str">
        <f>IF(Combustion!I7=" "," ","lb/"&amp;Combustion!F7)</f>
        <v xml:space="preserve"> </v>
      </c>
      <c r="D11" s="103" t="str">
        <f>IF(Combustion!I7&gt;0,Combustion!K7," ")</f>
        <v xml:space="preserve"> </v>
      </c>
      <c r="E11" s="35"/>
      <c r="F11" s="35"/>
      <c r="G11" s="37" t="str">
        <f>IF(Combustion!I7=" "," ",$D$6*B11)</f>
        <v xml:space="preserve"> </v>
      </c>
      <c r="H11" s="35"/>
      <c r="I11" s="35"/>
      <c r="J11" s="40" t="str">
        <f>IF('Permit Limits'!B6&gt;0,'Permit Limits'!B6,IF('Permit Limits'!B7&gt;0,'Permit Limits'!B7," "))</f>
        <v xml:space="preserve"> </v>
      </c>
      <c r="K11" s="65" t="str">
        <f>IF(Combustion!I8=" "," ",IF('Permit Limits'!C6&gt;0,'Permit Limits'!C6,IF('Permit Limits'!C7&gt;0,'Permit Limits'!C7,IF('Permit Limits'!B18&gt;0,'Permit Limits'!B18*B11/2000,IF('Permit Limits'!B20&gt;0,'Permit Limits'!B20*D6*'INV-3'!B11/2000,IF('Permit Limits'!B6&gt;0,'Permit Limits'!B6*8760/2000,IF('Permit Limits'!B7&gt;0,'Permit Limits'!B7*8760/2000,'INV-3'!G11*8760/2000)))))))</f>
        <v xml:space="preserve"> </v>
      </c>
    </row>
    <row r="12" spans="1:11" x14ac:dyDescent="0.2">
      <c r="A12" s="6" t="s">
        <v>17</v>
      </c>
      <c r="B12" s="33" t="str">
        <f>IF(Combustion!I8&gt;0,Combustion!I8," ")</f>
        <v xml:space="preserve"> </v>
      </c>
      <c r="C12" s="34" t="str">
        <f>IF(Combustion!I8=" "," ","lb/"&amp;Combustion!F7)</f>
        <v xml:space="preserve"> </v>
      </c>
      <c r="D12" s="103" t="str">
        <f>IF(Combustion!I8&gt;0,Combustion!K8," ")</f>
        <v xml:space="preserve"> </v>
      </c>
      <c r="E12" s="35"/>
      <c r="F12" s="35"/>
      <c r="G12" s="37" t="str">
        <f>IF(Combustion!I8=" "," ",$D$6*B12)</f>
        <v xml:space="preserve"> </v>
      </c>
      <c r="H12" s="35"/>
      <c r="I12" s="35"/>
      <c r="J12" s="40" t="str">
        <f>IF('Permit Limits'!B7&gt;0,'Permit Limits'!B7,IF('Permit Limits'!B6&gt;0,'Permit Limits'!B6," "))</f>
        <v xml:space="preserve"> </v>
      </c>
      <c r="K12" s="65" t="str">
        <f>IF(Combustion!I8=" "," ",IF('Permit Limits'!C7&gt;0,'Permit Limits'!C7,IF('Permit Limits'!C6&gt;0,'Permit Limits'!C6,IF('Permit Limits'!B18&gt;0,'Permit Limits'!B18*B12/2000,IF('Permit Limits'!B20&gt;0,'Permit Limits'!B20*D6*'INV-3'!B12/2000,IF('Permit Limits'!B7&gt;0,'Permit Limits'!B7*8760/2000,IF('Permit Limits'!B6&gt;0,'Permit Limits'!B6*8760/2000,'INV-3'!G12*8760/2000)))))))</f>
        <v xml:space="preserve"> </v>
      </c>
    </row>
    <row r="13" spans="1:11" x14ac:dyDescent="0.2">
      <c r="A13" s="6" t="s">
        <v>18</v>
      </c>
      <c r="B13" s="33" t="str">
        <f>IF(Combustion!I9&gt;0,Combustion!I9," ")</f>
        <v xml:space="preserve"> </v>
      </c>
      <c r="C13" s="34" t="str">
        <f>IF(Combustion!I9=" "," ","lb/"&amp;Combustion!F7)</f>
        <v xml:space="preserve"> </v>
      </c>
      <c r="D13" s="103" t="str">
        <f>IF(Combustion!I9&gt;0,Combustion!K9," ")</f>
        <v xml:space="preserve"> </v>
      </c>
      <c r="E13" s="33" t="str">
        <f>IF('Permit Limits'!B19&gt;0,'Permit Limits'!B19,IF(Combustion!C8&gt;0,Combustion!C8," "))</f>
        <v xml:space="preserve"> </v>
      </c>
      <c r="F13" s="33" t="str">
        <f>IF('Permit Limits'!B19&gt;0,'Permit Limits'!B19*B13,IF(Combustion!C8&gt;0,Combustion!C8*B13,B13))</f>
        <v xml:space="preserve"> </v>
      </c>
      <c r="G13" s="37" t="str">
        <f>IF(Combustion!I9=" "," ",IF(Combustion!C8&gt;0,$D$6*E13*B13,D6*B13))</f>
        <v xml:space="preserve"> </v>
      </c>
      <c r="H13" s="35"/>
      <c r="I13" s="61"/>
      <c r="J13" s="35" t="str">
        <f>IF('Permit Limits'!B8&gt;0,'Permit Limits'!B8," ")</f>
        <v xml:space="preserve"> </v>
      </c>
      <c r="K13" s="37" t="str">
        <f>IF(Combustion!I9=" "," ",IF('Permit Limits'!C8&gt;0,'Permit Limits'!C8,IF('Permit Limits'!B8&gt;0,'Permit Limits'!B8*8760/2000,IF('Permit Limits'!B18&gt;0,'Permit Limits'!B18*F13/2000,IF('Permit Limits'!B20&gt;0,'Permit Limits'!B20*D6*F13/2000,'INV-3'!G13*8760/2000)))))</f>
        <v xml:space="preserve"> </v>
      </c>
    </row>
    <row r="14" spans="1:11" x14ac:dyDescent="0.2">
      <c r="A14" s="6" t="s">
        <v>19</v>
      </c>
      <c r="B14" s="33" t="str">
        <f>IF(Combustion!I10&gt;0,Combustion!I10," ")</f>
        <v xml:space="preserve"> </v>
      </c>
      <c r="C14" s="34" t="str">
        <f>IF(Combustion!I10=" "," ","lb/"&amp;Combustion!F7)</f>
        <v xml:space="preserve"> </v>
      </c>
      <c r="D14" s="103" t="str">
        <f>IF(Combustion!I10&gt;0,Combustion!K10," ")</f>
        <v xml:space="preserve"> </v>
      </c>
      <c r="E14" s="2"/>
      <c r="F14" s="2"/>
      <c r="G14" s="37" t="str">
        <f>IF(Combustion!I10= " "," ",$D$6*B14)</f>
        <v xml:space="preserve"> </v>
      </c>
      <c r="H14" s="35"/>
      <c r="I14" s="2"/>
      <c r="J14" s="35" t="str">
        <f>IF('Permit Limits'!B9&gt;0,'Permit Limits'!B9," ")</f>
        <v xml:space="preserve"> </v>
      </c>
      <c r="K14" s="37" t="str">
        <f>IF(Combustion!I10=" "," ",IF('Permit Limits'!C9&gt;0,'Permit Limits'!C9,IF('Permit Limits'!B9&gt;0,'Permit Limits'!B9*8760/2000,IF('Permit Limits'!B18&gt;0,'Permit Limits'!B18*B14/2000,IF('Permit Limits'!B20&gt;0,'Permit Limits'!B20*D6*'INV-3'!B14/2000,'INV-3'!G14*8760/2000)))))</f>
        <v xml:space="preserve"> </v>
      </c>
    </row>
    <row r="15" spans="1:11" x14ac:dyDescent="0.2">
      <c r="A15" s="6" t="s">
        <v>20</v>
      </c>
      <c r="B15" s="33" t="str">
        <f>IF(Combustion!I11&gt;0,Combustion!I11," ")</f>
        <v xml:space="preserve"> </v>
      </c>
      <c r="C15" s="34" t="str">
        <f>IF(Combustion!I11=" "," ","lb/"&amp;Combustion!F7)</f>
        <v xml:space="preserve"> </v>
      </c>
      <c r="D15" s="103" t="str">
        <f>IF(Combustion!I11&gt;0,Combustion!K11," ")</f>
        <v xml:space="preserve"> </v>
      </c>
      <c r="E15" s="2"/>
      <c r="F15" s="2"/>
      <c r="G15" s="37" t="str">
        <f>IF(Combustion!I11=" "," ",$D$6*B15)</f>
        <v xml:space="preserve"> </v>
      </c>
      <c r="H15" s="35"/>
      <c r="I15" s="2"/>
      <c r="J15" s="35" t="str">
        <f>IF('Permit Limits'!B10&gt;0,'Permit Limits'!B10," ")</f>
        <v xml:space="preserve"> </v>
      </c>
      <c r="K15" s="37" t="str">
        <f>IF(Combustion!I11=" "," ",IF('Permit Limits'!C10&gt;0,'Permit Limits'!C10,IF('Permit Limits'!B10&gt;0,'Permit Limits'!B10*8760/2000,IF('Permit Limits'!B18&gt;0,'Permit Limits'!B18*B15/2000,IF('Permit Limits'!B20&gt;0,'Permit Limits'!B20*D6*'INV-3'!B15/2000,'INV-3'!G15*8760/2000)))))</f>
        <v xml:space="preserve"> </v>
      </c>
    </row>
    <row r="16" spans="1:11" x14ac:dyDescent="0.2">
      <c r="A16" s="6" t="s">
        <v>21</v>
      </c>
      <c r="B16" s="33" t="str">
        <f>IF(Combustion!I12&gt;0,Combustion!I12," ")</f>
        <v xml:space="preserve"> </v>
      </c>
      <c r="C16" s="34" t="str">
        <f>IF(Combustion!I12=" "," ","lb/"&amp;Combustion!F7)</f>
        <v xml:space="preserve"> </v>
      </c>
      <c r="D16" s="103" t="str">
        <f>IF(Combustion!I12&gt;0,Combustion!K12," ")</f>
        <v xml:space="preserve"> </v>
      </c>
      <c r="E16" s="2"/>
      <c r="F16" s="2"/>
      <c r="G16" s="37" t="str">
        <f>IF(Combustion!I12=" "," ",$D$6*B16)</f>
        <v xml:space="preserve"> </v>
      </c>
      <c r="H16" s="35"/>
      <c r="I16" s="2"/>
      <c r="J16" s="35" t="str">
        <f>IF('Permit Limits'!B11&gt;0,'Permit Limits'!B11," ")</f>
        <v xml:space="preserve"> </v>
      </c>
      <c r="K16" s="37" t="str">
        <f>IF(Combustion!I12=" "," ",IF('Permit Limits'!C11&gt;0,'Permit Limits'!C11,IF('Permit Limits'!B11&gt;0,'Permit Limits'!B11*8760/2000,IF('Permit Limits'!B18&gt;0,'Permit Limits'!B18*B16/2000,IF('Permit Limits'!B20&gt;0,'Permit Limits'!B20*D6*'INV-3'!B16/2000,'INV-3'!G16*8760/2000)))))</f>
        <v xml:space="preserve"> </v>
      </c>
    </row>
    <row r="17" spans="1:11" x14ac:dyDescent="0.2">
      <c r="A17" s="6" t="s">
        <v>22</v>
      </c>
      <c r="B17" s="33"/>
      <c r="C17" s="34"/>
      <c r="E17" s="2"/>
      <c r="F17" s="2"/>
      <c r="G17" s="33"/>
      <c r="H17" s="35"/>
      <c r="I17" s="2"/>
      <c r="J17" s="35"/>
      <c r="K17" s="37"/>
    </row>
    <row r="18" spans="1:11" x14ac:dyDescent="0.2">
      <c r="A18" s="6" t="s">
        <v>23</v>
      </c>
      <c r="B18" s="33" t="str">
        <f>IF(Combustion!I13&gt;0,Combustion!I13," ")</f>
        <v xml:space="preserve"> </v>
      </c>
      <c r="C18" s="34" t="str">
        <f>IF(Combustion!I13=" "," ","lb/"&amp;Combustion!F7)</f>
        <v xml:space="preserve"> </v>
      </c>
      <c r="D18" s="58" t="str">
        <f>IF(Combustion!I13&gt;0,Combustion!K13," ")</f>
        <v xml:space="preserve"> </v>
      </c>
      <c r="E18" s="2"/>
      <c r="F18" s="2"/>
      <c r="G18" s="37" t="str">
        <f>IF(Combustion!I13=" "," ",$D$6*B18)</f>
        <v xml:space="preserve"> </v>
      </c>
      <c r="H18" s="35"/>
      <c r="I18" s="2"/>
      <c r="J18" s="35" t="str">
        <f>IF(Combustion!I13=" "," ",IF('Permit Limits'!B13&gt;0,'Permit Limits'!B13," "))</f>
        <v xml:space="preserve"> </v>
      </c>
      <c r="K18" s="37" t="str">
        <f>IF(Combustion!I13=" "," ",IF('Permit Limits'!C13&gt;0,'Permit Limits'!C13,IF('Permit Limits'!B13&gt;0,'Permit Limits'!B13*8760/2000,IF('Permit Limits'!B18&gt;0,'Permit Limits'!B18*'INV-3'!B18/2000,IF('Permit Limits'!B20&gt;0,'Permit Limits'!B20*D6*'INV-3'!B18/2000,'INV-3'!G18*8760/2000)))))</f>
        <v xml:space="preserve"> </v>
      </c>
    </row>
    <row r="19" spans="1:11" x14ac:dyDescent="0.2">
      <c r="A19" s="143" t="s">
        <v>24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6"/>
    </row>
    <row r="20" spans="1:11" ht="14.25" customHeight="1" x14ac:dyDescent="0.2">
      <c r="A20" s="67" t="str">
        <f>IF(Combustion!I14=" "," ",Combustion!H14)</f>
        <v xml:space="preserve"> </v>
      </c>
      <c r="B20" s="60" t="str">
        <f>IF(Combustion!I14&gt;0,Combustion!I14," ")</f>
        <v xml:space="preserve"> </v>
      </c>
      <c r="C20" s="72" t="str">
        <f>IF(Combustion!I14=" "," ","lb/"&amp;Combustion!F7)</f>
        <v xml:space="preserve"> </v>
      </c>
      <c r="D20" s="59" t="str">
        <f>IF(Combustion!I14&gt;0,Combustion!K14," ")</f>
        <v xml:space="preserve"> </v>
      </c>
      <c r="E20" s="64"/>
      <c r="F20" s="64"/>
      <c r="G20" s="37" t="str">
        <f>IF(Combustion!I14=" "," ",$D$6*B20)</f>
        <v xml:space="preserve"> </v>
      </c>
      <c r="H20" s="33"/>
      <c r="I20" s="64"/>
      <c r="J20" s="33" t="str">
        <f>IF(Combustion!I14=" "," ",IF('Permit Limits'!B13&gt;0,'Permit Limits'!B13," "))</f>
        <v xml:space="preserve"> </v>
      </c>
      <c r="K20" s="65" t="str">
        <f>IF(Combustion!I14=" "," ",IF('Permit Limits'!C13&gt;0,'Permit Limits'!C13,IF('Permit Limits'!B13&gt;0,'Permit Limits'!B13*8760/2000,IF('Permit Limits'!B18&gt;0,'Permit Limits'!B18*'INV-3'!B20/2000,IF('Permit Limits'!B20&gt;0,'Permit Limits'!B20*D6*'INV-3'!B20/2000,'INV-3'!G20*8760/2000)))))</f>
        <v xml:space="preserve"> </v>
      </c>
    </row>
    <row r="21" spans="1:11" ht="12.75" customHeight="1" x14ac:dyDescent="0.2">
      <c r="A21" s="97" t="str">
        <f>IF(Combustion!I15=" "," ",Combustion!H15)</f>
        <v xml:space="preserve"> </v>
      </c>
      <c r="B21" s="60" t="str">
        <f>IF(Combustion!I15&gt;0,Combustion!I15," ")</f>
        <v xml:space="preserve"> </v>
      </c>
      <c r="C21" s="72" t="str">
        <f>IF(Combustion!I15=" "," ","lb/"&amp;Combustion!F7)</f>
        <v xml:space="preserve"> </v>
      </c>
      <c r="D21" s="59" t="str">
        <f>IF(Combustion!I15&gt;0,Combustion!K15," ")</f>
        <v xml:space="preserve"> </v>
      </c>
      <c r="E21" s="64"/>
      <c r="F21" s="64"/>
      <c r="G21" s="37" t="str">
        <f>IF(Combustion!I15=" "," ",$D$6*B21)</f>
        <v xml:space="preserve"> </v>
      </c>
      <c r="H21" s="33"/>
      <c r="I21" s="64"/>
      <c r="J21" s="33" t="str">
        <f>IF(Combustion!I15=" "," ",IF('Permit Limits'!B13&gt;0,'Permit Limits'!B13," "))</f>
        <v xml:space="preserve"> </v>
      </c>
      <c r="K21" s="65" t="str">
        <f>IF(Combustion!I15=" "," ",IF('Permit Limits'!C13&gt;0,'Permit Limits'!C13,IF('Permit Limits'!B13&gt;0,'Permit Limits'!B13*8760/2000,IF('Permit Limits'!B18&gt;0,'Permit Limits'!B18*'INV-3'!B21/2000,IF('Permit Limits'!B20&gt;0,'Permit Limits'!B20*D6*'INV-3'!B21/2000,'INV-3'!G21*8760/2000)))))</f>
        <v xml:space="preserve"> </v>
      </c>
    </row>
    <row r="22" spans="1:11" x14ac:dyDescent="0.2">
      <c r="A22" s="7"/>
      <c r="B22" s="60"/>
      <c r="C22" s="72"/>
      <c r="D22" s="59"/>
      <c r="E22" s="64"/>
      <c r="F22" s="64"/>
      <c r="G22" s="33"/>
      <c r="H22" s="33"/>
      <c r="I22" s="64"/>
      <c r="J22" s="33"/>
      <c r="K22" s="65"/>
    </row>
    <row r="23" spans="1:11" ht="14.25" customHeight="1" x14ac:dyDescent="0.2">
      <c r="A23" s="7"/>
      <c r="B23" s="60"/>
      <c r="C23" s="72"/>
      <c r="D23" s="59"/>
      <c r="E23" s="64"/>
      <c r="F23" s="64"/>
      <c r="G23" s="33"/>
      <c r="H23" s="33"/>
      <c r="I23" s="64"/>
      <c r="J23" s="33"/>
      <c r="K23" s="65"/>
    </row>
    <row r="24" spans="1:11" x14ac:dyDescent="0.2">
      <c r="A24" s="3"/>
      <c r="B24" s="60"/>
      <c r="C24" s="72"/>
      <c r="D24" s="59"/>
      <c r="E24" s="64"/>
      <c r="F24" s="64"/>
      <c r="G24" s="33"/>
      <c r="H24" s="33"/>
      <c r="I24" s="64"/>
      <c r="J24" s="33"/>
      <c r="K24" s="37"/>
    </row>
    <row r="25" spans="1:11" x14ac:dyDescent="0.2">
      <c r="A25" s="3"/>
      <c r="B25" s="60"/>
      <c r="C25" s="72"/>
      <c r="D25" s="59"/>
      <c r="E25" s="64"/>
      <c r="F25" s="64"/>
      <c r="G25" s="33"/>
      <c r="H25" s="33"/>
      <c r="I25" s="64"/>
      <c r="J25" s="33"/>
      <c r="K25" s="37"/>
    </row>
  </sheetData>
  <sheetProtection password="C20E" sheet="1" objects="1" scenarios="1"/>
  <mergeCells count="13">
    <mergeCell ref="A8:K8"/>
    <mergeCell ref="A19:K19"/>
    <mergeCell ref="A1:I1"/>
    <mergeCell ref="A6:C6"/>
    <mergeCell ref="D6:E6"/>
    <mergeCell ref="G6:I6"/>
    <mergeCell ref="A3:C3"/>
    <mergeCell ref="D3:K3"/>
    <mergeCell ref="A4:C4"/>
    <mergeCell ref="D4:K4"/>
    <mergeCell ref="A5:C5"/>
    <mergeCell ref="D5:K5"/>
    <mergeCell ref="J6:K6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15" workbookViewId="0">
      <selection activeCell="I13" sqref="I13"/>
    </sheetView>
  </sheetViews>
  <sheetFormatPr defaultRowHeight="12.75" x14ac:dyDescent="0.2"/>
  <cols>
    <col min="1" max="1" width="11.42578125" customWidth="1"/>
    <col min="3" max="3" width="10" customWidth="1"/>
    <col min="4" max="4" width="13.7109375" customWidth="1"/>
    <col min="5" max="5" width="6.7109375" customWidth="1"/>
    <col min="6" max="6" width="19.140625" customWidth="1"/>
    <col min="7" max="7" width="7.85546875" customWidth="1"/>
    <col min="8" max="8" width="12.85546875" customWidth="1"/>
  </cols>
  <sheetData>
    <row r="1" spans="1:9" x14ac:dyDescent="0.2">
      <c r="A1" s="113" t="s">
        <v>42</v>
      </c>
      <c r="B1" s="114"/>
      <c r="C1" s="114"/>
      <c r="D1" s="114"/>
      <c r="E1" s="114"/>
      <c r="F1" s="114"/>
      <c r="G1" s="114"/>
    </row>
    <row r="2" spans="1:9" x14ac:dyDescent="0.2">
      <c r="A2" s="8"/>
      <c r="B2" s="9"/>
      <c r="C2" s="9"/>
      <c r="D2" s="9"/>
      <c r="E2" s="42"/>
      <c r="F2" s="42"/>
      <c r="G2" s="42"/>
      <c r="H2" s="36"/>
    </row>
    <row r="3" spans="1:9" x14ac:dyDescent="0.2">
      <c r="A3" s="43" t="s">
        <v>53</v>
      </c>
      <c r="B3" s="14"/>
      <c r="C3" s="122" t="str">
        <f>Combustion!G7</f>
        <v xml:space="preserve"> </v>
      </c>
      <c r="D3" s="123"/>
      <c r="E3" s="42"/>
      <c r="F3" s="42"/>
      <c r="G3" s="42"/>
      <c r="H3" s="36"/>
      <c r="I3" s="36"/>
    </row>
    <row r="4" spans="1:9" x14ac:dyDescent="0.2">
      <c r="A4" s="115" t="s">
        <v>54</v>
      </c>
      <c r="B4" s="118"/>
      <c r="C4" s="119"/>
      <c r="D4" s="109" t="e">
        <f>Combustion!A9</f>
        <v>#N/A</v>
      </c>
      <c r="E4" s="132"/>
      <c r="F4" s="132"/>
      <c r="G4" s="132"/>
      <c r="H4" s="133"/>
      <c r="I4" s="36"/>
    </row>
    <row r="5" spans="1:9" x14ac:dyDescent="0.2">
      <c r="A5" s="110" t="s">
        <v>25</v>
      </c>
      <c r="B5" s="111"/>
      <c r="C5" s="120" t="e">
        <f>Combustion!A10</f>
        <v>#N/A</v>
      </c>
      <c r="D5" s="121"/>
      <c r="E5" s="121"/>
      <c r="F5" s="121"/>
      <c r="G5" s="121"/>
      <c r="H5" s="121"/>
    </row>
    <row r="6" spans="1:9" x14ac:dyDescent="0.2">
      <c r="A6" s="115" t="s">
        <v>126</v>
      </c>
      <c r="B6" s="116"/>
      <c r="C6" s="117"/>
      <c r="D6" s="134">
        <f>Combustion!E7</f>
        <v>0</v>
      </c>
      <c r="E6" s="135"/>
      <c r="F6" s="115" t="s">
        <v>26</v>
      </c>
      <c r="G6" s="122" t="str">
        <f>Combustion!F7</f>
        <v xml:space="preserve"> </v>
      </c>
      <c r="H6" s="123"/>
    </row>
    <row r="7" spans="1:9" x14ac:dyDescent="0.2">
      <c r="A7" s="14"/>
      <c r="B7" s="14"/>
      <c r="C7" s="14"/>
      <c r="D7" s="15"/>
      <c r="E7" s="13"/>
      <c r="F7" s="14"/>
      <c r="G7" s="11"/>
      <c r="H7" s="12"/>
    </row>
    <row r="8" spans="1:9" x14ac:dyDescent="0.2">
      <c r="B8" s="116"/>
      <c r="C8" s="116"/>
      <c r="D8" s="116"/>
      <c r="E8" s="136" t="s">
        <v>5</v>
      </c>
      <c r="F8" s="116"/>
      <c r="G8" s="116"/>
      <c r="H8" s="112"/>
    </row>
    <row r="9" spans="1:9" x14ac:dyDescent="0.2">
      <c r="A9" s="4">
        <v>15</v>
      </c>
      <c r="B9" s="4">
        <v>16</v>
      </c>
      <c r="C9" s="4">
        <v>17</v>
      </c>
      <c r="D9" s="4">
        <v>18</v>
      </c>
      <c r="E9" s="4">
        <v>19</v>
      </c>
      <c r="F9" s="126">
        <v>20</v>
      </c>
      <c r="G9" s="4">
        <v>21</v>
      </c>
      <c r="H9" s="4">
        <v>22</v>
      </c>
    </row>
    <row r="10" spans="1:9" ht="30.75" customHeight="1" x14ac:dyDescent="0.2">
      <c r="A10" s="5" t="s">
        <v>6</v>
      </c>
      <c r="B10" s="5" t="s">
        <v>7</v>
      </c>
      <c r="C10" s="5" t="s">
        <v>8</v>
      </c>
      <c r="D10" s="5" t="s">
        <v>27</v>
      </c>
      <c r="E10" s="5" t="s">
        <v>10</v>
      </c>
      <c r="F10" s="127" t="s">
        <v>12</v>
      </c>
      <c r="G10" s="5" t="s">
        <v>13</v>
      </c>
      <c r="H10" s="127" t="s">
        <v>28</v>
      </c>
    </row>
    <row r="11" spans="1:9" x14ac:dyDescent="0.2">
      <c r="A11" s="52" t="s">
        <v>16</v>
      </c>
      <c r="B11" s="53" t="str">
        <f>IF(Combustion!I7&gt;0,Combustion!I7," ")</f>
        <v xml:space="preserve"> </v>
      </c>
      <c r="C11" s="53" t="str">
        <f>IF(Combustion!I7=" "," ","lb/"&amp;Combustion!F7)</f>
        <v xml:space="preserve"> </v>
      </c>
      <c r="D11" s="54" t="str">
        <f>IF(Combustion!I7&gt;0,Combustion!K7," ")</f>
        <v xml:space="preserve"> </v>
      </c>
      <c r="E11" s="53"/>
      <c r="F11" s="124"/>
      <c r="G11" s="53"/>
      <c r="H11" s="125" t="str">
        <f>IF(Combustion!I7=" "," ",$D$6*B11/2000)</f>
        <v xml:space="preserve"> </v>
      </c>
    </row>
    <row r="12" spans="1:9" x14ac:dyDescent="0.2">
      <c r="A12" s="52" t="s">
        <v>17</v>
      </c>
      <c r="B12" s="53" t="str">
        <f>IF(Combustion!I8&gt;0,Combustion!I8," ")</f>
        <v xml:space="preserve"> </v>
      </c>
      <c r="C12" s="53" t="str">
        <f>IF(Combustion!I8=" "," ","lb/"&amp;Combustion!F7)</f>
        <v xml:space="preserve"> </v>
      </c>
      <c r="D12" s="54" t="str">
        <f>IF(Combustion!I8&gt;0,Combustion!K8," ")</f>
        <v xml:space="preserve"> </v>
      </c>
      <c r="E12" s="53"/>
      <c r="F12" s="124"/>
      <c r="G12" s="53"/>
      <c r="H12" s="125" t="str">
        <f>IF(Combustion!I8=" "," ",$D$6*B12/2000)</f>
        <v xml:space="preserve"> </v>
      </c>
    </row>
    <row r="13" spans="1:9" x14ac:dyDescent="0.2">
      <c r="A13" s="52" t="s">
        <v>18</v>
      </c>
      <c r="B13" s="53" t="str">
        <f>IF(Combustion!I9&gt;0,Combustion!I9," ")</f>
        <v xml:space="preserve"> </v>
      </c>
      <c r="C13" s="53" t="str">
        <f>IF(Combustion!I9=" "," ","lb/"&amp;Combustion!F7)</f>
        <v xml:space="preserve"> </v>
      </c>
      <c r="D13" s="54" t="str">
        <f>IF(Combustion!I9&gt;0,Combustion!K9," ")</f>
        <v xml:space="preserve"> </v>
      </c>
      <c r="E13" s="62" t="str">
        <f>IF(Combustion!C8&gt;0,Combustion!C8," ")</f>
        <v xml:space="preserve"> </v>
      </c>
      <c r="F13" s="124"/>
      <c r="G13" s="63"/>
      <c r="H13" s="125" t="str">
        <f>IF(Combustion!I9=" "," ",IF(Combustion!C8&gt;0,$D$6*E13*B13/2000,D6*B13/2000))</f>
        <v xml:space="preserve"> </v>
      </c>
    </row>
    <row r="14" spans="1:9" x14ac:dyDescent="0.2">
      <c r="A14" s="52" t="s">
        <v>19</v>
      </c>
      <c r="B14" s="53" t="str">
        <f>IF(Combustion!I10&gt;0,Combustion!I10," ")</f>
        <v xml:space="preserve"> </v>
      </c>
      <c r="C14" s="53" t="str">
        <f>IF(Combustion!I10=" "," ","lb/"&amp;Combustion!F7)</f>
        <v xml:space="preserve"> </v>
      </c>
      <c r="D14" s="54" t="str">
        <f>IF(Combustion!I10&gt;0,Combustion!K10," ")</f>
        <v xml:space="preserve"> </v>
      </c>
      <c r="E14" s="63"/>
      <c r="F14" s="124"/>
      <c r="G14" s="63"/>
      <c r="H14" s="125" t="str">
        <f>IF(Combustion!I10=" "," ",$D$6*B14/2000)</f>
        <v xml:space="preserve"> </v>
      </c>
    </row>
    <row r="15" spans="1:9" x14ac:dyDescent="0.2">
      <c r="A15" s="52" t="s">
        <v>20</v>
      </c>
      <c r="B15" s="53" t="str">
        <f>IF(Combustion!I11&gt;0,Combustion!I11," ")</f>
        <v xml:space="preserve"> </v>
      </c>
      <c r="C15" s="53" t="str">
        <f>IF(Combustion!I11=" "," ","lb/"&amp;Combustion!F7)</f>
        <v xml:space="preserve"> </v>
      </c>
      <c r="D15" s="54" t="str">
        <f>IF(Combustion!I11&gt;0,Combustion!K11," ")</f>
        <v xml:space="preserve"> </v>
      </c>
      <c r="E15" s="63"/>
      <c r="F15" s="124"/>
      <c r="G15" s="63"/>
      <c r="H15" s="125" t="str">
        <f>IF(Combustion!I11=" "," ",$D$6*B15/2000)</f>
        <v xml:space="preserve"> </v>
      </c>
    </row>
    <row r="16" spans="1:9" x14ac:dyDescent="0.2">
      <c r="A16" s="52" t="s">
        <v>21</v>
      </c>
      <c r="B16" s="53" t="str">
        <f>IF(Combustion!I12&gt;0,Combustion!I12," ")</f>
        <v xml:space="preserve"> </v>
      </c>
      <c r="C16" s="53" t="str">
        <f>IF(Combustion!I12=" "," ","lb/"&amp;Combustion!F7)</f>
        <v xml:space="preserve"> </v>
      </c>
      <c r="D16" s="54" t="str">
        <f>IF(Combustion!I12&gt;0,Combustion!K12," ")</f>
        <v xml:space="preserve"> </v>
      </c>
      <c r="E16" s="63"/>
      <c r="F16" s="124"/>
      <c r="G16" s="63"/>
      <c r="H16" s="125" t="str">
        <f>IF(Combustion!I12=" "," ",$D$6*B16/2000)</f>
        <v xml:space="preserve"> </v>
      </c>
    </row>
    <row r="17" spans="1:8" x14ac:dyDescent="0.2">
      <c r="A17" s="52" t="s">
        <v>22</v>
      </c>
      <c r="B17" s="53"/>
      <c r="C17" s="53"/>
      <c r="D17" s="54"/>
      <c r="E17" s="63"/>
      <c r="F17" s="124"/>
      <c r="G17" s="63"/>
      <c r="H17" s="125"/>
    </row>
    <row r="18" spans="1:8" x14ac:dyDescent="0.2">
      <c r="A18" s="55" t="s">
        <v>23</v>
      </c>
      <c r="B18" s="53" t="str">
        <f>IF(Combustion!I13&gt;0,Combustion!I13," ")</f>
        <v xml:space="preserve"> </v>
      </c>
      <c r="C18" s="53" t="str">
        <f>IF(Combustion!I13=" "," ","lb/"&amp;Combustion!F7)</f>
        <v xml:space="preserve"> </v>
      </c>
      <c r="D18" s="54" t="str">
        <f>IF(Combustion!I13&gt;0,Combustion!K13," ")</f>
        <v xml:space="preserve"> </v>
      </c>
      <c r="E18" s="63"/>
      <c r="F18" s="124"/>
      <c r="G18" s="63"/>
      <c r="H18" s="125" t="str">
        <f>IF(Combustion!I13=" "," ",$D$6*B18/2000)</f>
        <v xml:space="preserve"> </v>
      </c>
    </row>
    <row r="19" spans="1:8" x14ac:dyDescent="0.2">
      <c r="A19" s="137" t="s">
        <v>29</v>
      </c>
      <c r="B19" s="138"/>
      <c r="C19" s="138"/>
      <c r="D19" s="138"/>
      <c r="E19" s="138"/>
      <c r="F19" s="138"/>
      <c r="G19" s="138"/>
      <c r="H19" s="138"/>
    </row>
    <row r="20" spans="1:8" ht="14.25" customHeight="1" x14ac:dyDescent="0.2">
      <c r="A20" s="68" t="str">
        <f>IF(Combustion!I14=" "," ","Hexane")</f>
        <v xml:space="preserve"> </v>
      </c>
      <c r="B20" s="53" t="str">
        <f>IF(Combustion!I14&gt;0,Combustion!I14," ")</f>
        <v xml:space="preserve"> </v>
      </c>
      <c r="C20" s="53" t="str">
        <f>IF(Combustion!I14=" "," ","lb/"&amp;Combustion!F7)</f>
        <v xml:space="preserve"> </v>
      </c>
      <c r="D20" s="54" t="str">
        <f>IF(Combustion!I14&gt;0,Combustion!K14," ")</f>
        <v xml:space="preserve"> </v>
      </c>
      <c r="E20" s="63"/>
      <c r="F20" s="124"/>
      <c r="G20" s="63"/>
      <c r="H20" s="125" t="str">
        <f>IF(Combustion!I14=" "," ",$D$6*B20/2000)</f>
        <v xml:space="preserve"> </v>
      </c>
    </row>
    <row r="21" spans="1:8" ht="15" customHeight="1" x14ac:dyDescent="0.2">
      <c r="A21" s="98" t="str">
        <f>IF(Combustion!I15=" "," ","Formaldehyde")</f>
        <v xml:space="preserve"> </v>
      </c>
      <c r="B21" s="53" t="str">
        <f>IF(Combustion!I15&gt;0,Combustion!I15," ")</f>
        <v xml:space="preserve"> </v>
      </c>
      <c r="C21" s="53" t="str">
        <f>IF(Combustion!I15=" "," ","lb/"&amp;Combustion!F7)</f>
        <v xml:space="preserve"> </v>
      </c>
      <c r="D21" s="54" t="str">
        <f>IF(Combustion!I15&gt;0,Combustion!K14," ")</f>
        <v xml:space="preserve"> </v>
      </c>
      <c r="E21" s="63"/>
      <c r="F21" s="124"/>
      <c r="G21" s="63"/>
      <c r="H21" s="125" t="str">
        <f>IF(Combustion!I15=" "," ",$D$6*B21/2000)</f>
        <v xml:space="preserve"> </v>
      </c>
    </row>
    <row r="22" spans="1:8" ht="15" customHeight="1" x14ac:dyDescent="0.2">
      <c r="A22" s="56"/>
      <c r="B22" s="53"/>
      <c r="C22" s="53"/>
      <c r="D22" s="54"/>
      <c r="E22" s="63"/>
      <c r="F22" s="124"/>
      <c r="G22" s="63"/>
      <c r="H22" s="125"/>
    </row>
    <row r="23" spans="1:8" ht="15.75" customHeight="1" x14ac:dyDescent="0.2">
      <c r="A23" s="56"/>
      <c r="B23" s="53"/>
      <c r="C23" s="53"/>
      <c r="D23" s="54"/>
      <c r="E23" s="63"/>
      <c r="F23" s="124"/>
      <c r="G23" s="63"/>
      <c r="H23" s="125"/>
    </row>
    <row r="24" spans="1:8" x14ac:dyDescent="0.2">
      <c r="A24" s="57"/>
      <c r="B24" s="53"/>
      <c r="C24" s="53"/>
      <c r="D24" s="54"/>
      <c r="E24" s="63"/>
      <c r="F24" s="124"/>
      <c r="G24" s="63"/>
      <c r="H24" s="125"/>
    </row>
    <row r="25" spans="1:8" x14ac:dyDescent="0.2">
      <c r="A25" s="57"/>
      <c r="B25" s="53"/>
      <c r="C25" s="53"/>
      <c r="D25" s="54"/>
      <c r="E25" s="63"/>
      <c r="F25" s="124"/>
      <c r="G25" s="63"/>
      <c r="H25" s="125"/>
    </row>
  </sheetData>
  <sheetProtection algorithmName="SHA-512" hashValue="zUoaxL5yzJlZh4vASXc3IWZaggGkFBU5LXSUwGnKKjG7/Ej7R/e7xQ3AN8SGxi86g1Y8YlAM5jU4RlT+ne354A==" saltValue="pV1eNUAjRXQ7cMBTETElyg==" spinCount="100000" sheet="1" objects="1" scenarios="1"/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3.42578125" style="47" bestFit="1" customWidth="1"/>
    <col min="2" max="2" width="28.140625" style="47" customWidth="1"/>
    <col min="3" max="3" width="11.28515625" style="47" bestFit="1" customWidth="1"/>
    <col min="4" max="4" width="11.28515625" style="47" customWidth="1"/>
    <col min="5" max="5" width="9.42578125" style="47" bestFit="1" customWidth="1"/>
    <col min="6" max="8" width="9.28515625" style="18" customWidth="1"/>
    <col min="9" max="9" width="16" style="18" bestFit="1" customWidth="1"/>
    <col min="10" max="10" width="9.28515625" style="18" customWidth="1"/>
    <col min="11" max="11" width="16" style="18" bestFit="1" customWidth="1"/>
    <col min="12" max="12" width="9.28515625" style="18" customWidth="1"/>
    <col min="13" max="13" width="16" style="18" bestFit="1" customWidth="1"/>
    <col min="14" max="14" width="9.28515625" style="18" customWidth="1"/>
    <col min="15" max="15" width="16" style="18" bestFit="1" customWidth="1"/>
    <col min="16" max="16" width="9.28515625" style="18" customWidth="1"/>
    <col min="17" max="17" width="16" style="18" bestFit="1" customWidth="1"/>
    <col min="18" max="21" width="9.28515625" style="18" customWidth="1"/>
    <col min="22" max="22" width="14.28515625" style="18" bestFit="1" customWidth="1"/>
    <col min="23" max="23" width="9" style="18" bestFit="1" customWidth="1"/>
    <col min="24" max="24" width="9.28515625" style="18" customWidth="1"/>
    <col min="25" max="16384" width="9.140625" style="18"/>
  </cols>
  <sheetData>
    <row r="1" spans="1:24" s="22" customFormat="1" x14ac:dyDescent="0.2">
      <c r="A1" s="86" t="s">
        <v>58</v>
      </c>
      <c r="B1" s="86" t="s">
        <v>59</v>
      </c>
      <c r="C1" s="86" t="s">
        <v>60</v>
      </c>
      <c r="D1" s="86" t="s">
        <v>61</v>
      </c>
      <c r="E1" s="86" t="s">
        <v>90</v>
      </c>
      <c r="F1" s="86" t="s">
        <v>62</v>
      </c>
      <c r="G1" s="86" t="s">
        <v>63</v>
      </c>
      <c r="H1" s="86" t="s">
        <v>64</v>
      </c>
      <c r="I1" s="86" t="s">
        <v>63</v>
      </c>
      <c r="J1" s="86" t="s">
        <v>18</v>
      </c>
      <c r="K1" s="86" t="s">
        <v>63</v>
      </c>
      <c r="L1" s="86" t="s">
        <v>65</v>
      </c>
      <c r="M1" s="86" t="s">
        <v>63</v>
      </c>
      <c r="N1" s="86" t="s">
        <v>66</v>
      </c>
      <c r="O1" s="86" t="s">
        <v>63</v>
      </c>
      <c r="P1" s="86" t="s">
        <v>21</v>
      </c>
      <c r="Q1" s="86" t="s">
        <v>63</v>
      </c>
      <c r="R1" s="86" t="s">
        <v>23</v>
      </c>
      <c r="S1" s="86" t="s">
        <v>63</v>
      </c>
      <c r="T1" s="86" t="s">
        <v>67</v>
      </c>
      <c r="U1" s="86" t="s">
        <v>63</v>
      </c>
      <c r="V1" s="86" t="s">
        <v>121</v>
      </c>
      <c r="W1" s="86" t="s">
        <v>63</v>
      </c>
      <c r="X1" s="86" t="s">
        <v>68</v>
      </c>
    </row>
    <row r="2" spans="1:24" x14ac:dyDescent="0.2">
      <c r="A2" s="82" t="s">
        <v>80</v>
      </c>
      <c r="B2" s="82" t="s">
        <v>81</v>
      </c>
      <c r="C2" s="82" t="s">
        <v>82</v>
      </c>
      <c r="D2" s="82" t="s">
        <v>91</v>
      </c>
      <c r="E2" s="82" t="s">
        <v>83</v>
      </c>
      <c r="F2" s="87">
        <v>7.6</v>
      </c>
      <c r="G2" s="22" t="s">
        <v>73</v>
      </c>
      <c r="H2" s="87">
        <v>7.6</v>
      </c>
      <c r="I2" s="22" t="s">
        <v>73</v>
      </c>
      <c r="J2" s="87">
        <v>0.6</v>
      </c>
      <c r="K2" s="22" t="s">
        <v>73</v>
      </c>
      <c r="L2" s="87">
        <v>100</v>
      </c>
      <c r="M2" s="22" t="s">
        <v>73</v>
      </c>
      <c r="N2" s="87">
        <v>5.5</v>
      </c>
      <c r="O2" s="22" t="s">
        <v>73</v>
      </c>
      <c r="P2" s="87">
        <v>84</v>
      </c>
      <c r="Q2" s="22" t="s">
        <v>73</v>
      </c>
      <c r="R2" s="87">
        <v>3.2</v>
      </c>
      <c r="S2" s="22" t="s">
        <v>73</v>
      </c>
      <c r="T2" s="87">
        <v>1.8</v>
      </c>
      <c r="U2" s="22" t="s">
        <v>73</v>
      </c>
      <c r="V2" s="22">
        <v>7.4999999999999997E-2</v>
      </c>
      <c r="W2" s="22" t="s">
        <v>73</v>
      </c>
      <c r="X2" s="18">
        <v>10200602</v>
      </c>
    </row>
    <row r="3" spans="1:24" x14ac:dyDescent="0.2">
      <c r="A3" s="82" t="s">
        <v>77</v>
      </c>
      <c r="B3" s="82" t="s">
        <v>94</v>
      </c>
      <c r="C3" s="47" t="s">
        <v>78</v>
      </c>
      <c r="D3" s="47" t="s">
        <v>92</v>
      </c>
      <c r="E3" s="82" t="s">
        <v>79</v>
      </c>
      <c r="F3" s="87">
        <v>1.55</v>
      </c>
      <c r="G3" s="22" t="s">
        <v>73</v>
      </c>
      <c r="H3" s="87">
        <v>2.2999999999999998</v>
      </c>
      <c r="I3" s="22" t="s">
        <v>73</v>
      </c>
      <c r="J3" s="87">
        <v>142</v>
      </c>
      <c r="K3" s="22" t="s">
        <v>73</v>
      </c>
      <c r="L3" s="87">
        <v>20</v>
      </c>
      <c r="M3" s="22" t="s">
        <v>73</v>
      </c>
      <c r="N3" s="87">
        <v>0.2</v>
      </c>
      <c r="O3" s="22" t="s">
        <v>73</v>
      </c>
      <c r="P3" s="87">
        <v>5</v>
      </c>
      <c r="Q3" s="22" t="s">
        <v>73</v>
      </c>
      <c r="R3" s="87">
        <v>0.8</v>
      </c>
      <c r="S3" s="22" t="s">
        <v>73</v>
      </c>
      <c r="T3" s="87"/>
      <c r="U3" s="22"/>
      <c r="V3" s="22"/>
      <c r="W3" s="22"/>
      <c r="X3" s="18">
        <v>10200502</v>
      </c>
    </row>
    <row r="4" spans="1:24" x14ac:dyDescent="0.2">
      <c r="A4" s="82" t="s">
        <v>89</v>
      </c>
      <c r="B4" s="82" t="s">
        <v>86</v>
      </c>
      <c r="C4" s="82" t="s">
        <v>87</v>
      </c>
      <c r="D4" s="82" t="s">
        <v>92</v>
      </c>
      <c r="E4" s="82" t="s">
        <v>79</v>
      </c>
      <c r="F4" s="87">
        <v>0.90600000000000003</v>
      </c>
      <c r="G4" s="22" t="s">
        <v>73</v>
      </c>
      <c r="H4" s="87">
        <v>0.90600000000000003</v>
      </c>
      <c r="I4" s="22" t="s">
        <v>73</v>
      </c>
      <c r="J4" s="87">
        <v>0.1</v>
      </c>
      <c r="K4" s="22" t="s">
        <v>124</v>
      </c>
      <c r="L4" s="87">
        <v>13</v>
      </c>
      <c r="M4" s="22" t="s">
        <v>124</v>
      </c>
      <c r="N4" s="87">
        <v>1</v>
      </c>
      <c r="O4" s="22" t="s">
        <v>124</v>
      </c>
      <c r="P4" s="87">
        <v>7.5</v>
      </c>
      <c r="Q4" s="88" t="s">
        <v>124</v>
      </c>
      <c r="R4" s="87"/>
      <c r="S4" s="88"/>
      <c r="T4" s="87"/>
      <c r="U4" s="88"/>
      <c r="V4" s="88"/>
      <c r="W4" s="88"/>
      <c r="X4" s="18">
        <v>10301002</v>
      </c>
    </row>
    <row r="5" spans="1:24" x14ac:dyDescent="0.2">
      <c r="A5" s="82" t="s">
        <v>88</v>
      </c>
      <c r="B5" s="82" t="s">
        <v>86</v>
      </c>
      <c r="C5" s="82" t="s">
        <v>87</v>
      </c>
      <c r="D5" s="82" t="s">
        <v>92</v>
      </c>
      <c r="E5" s="82" t="s">
        <v>79</v>
      </c>
      <c r="F5" s="87">
        <v>1.1060000000000001</v>
      </c>
      <c r="G5" s="22" t="s">
        <v>73</v>
      </c>
      <c r="H5" s="87">
        <v>1.1060000000000001</v>
      </c>
      <c r="I5" s="22" t="s">
        <v>73</v>
      </c>
      <c r="J5" s="87">
        <v>0.1</v>
      </c>
      <c r="K5" s="22" t="s">
        <v>124</v>
      </c>
      <c r="L5" s="87">
        <v>13</v>
      </c>
      <c r="M5" s="22" t="s">
        <v>124</v>
      </c>
      <c r="N5" s="87">
        <v>1</v>
      </c>
      <c r="O5" s="22" t="s">
        <v>124</v>
      </c>
      <c r="P5" s="87">
        <v>7.5</v>
      </c>
      <c r="Q5" s="88" t="s">
        <v>124</v>
      </c>
      <c r="R5" s="87"/>
      <c r="S5" s="88"/>
      <c r="T5" s="87"/>
      <c r="U5" s="88"/>
      <c r="V5" s="88"/>
      <c r="W5" s="88"/>
      <c r="X5" s="18">
        <v>10201002</v>
      </c>
    </row>
    <row r="6" spans="1:24" x14ac:dyDescent="0.2">
      <c r="A6" s="82" t="s">
        <v>85</v>
      </c>
      <c r="B6" s="82" t="s">
        <v>81</v>
      </c>
      <c r="C6" s="47" t="s">
        <v>82</v>
      </c>
      <c r="D6" s="47" t="s">
        <v>91</v>
      </c>
      <c r="E6" s="47" t="s">
        <v>83</v>
      </c>
      <c r="F6" s="87">
        <v>20.11</v>
      </c>
      <c r="G6" s="22" t="s">
        <v>73</v>
      </c>
      <c r="H6" s="87">
        <v>20.11</v>
      </c>
      <c r="I6" s="22" t="s">
        <v>73</v>
      </c>
      <c r="J6" s="87">
        <v>0.6</v>
      </c>
      <c r="K6" s="22" t="s">
        <v>73</v>
      </c>
      <c r="L6" s="87">
        <v>2840</v>
      </c>
      <c r="M6" s="22" t="s">
        <v>73</v>
      </c>
      <c r="N6" s="87">
        <v>116</v>
      </c>
      <c r="O6" s="22" t="s">
        <v>73</v>
      </c>
      <c r="P6" s="87">
        <v>399</v>
      </c>
      <c r="Q6" s="88" t="s">
        <v>73</v>
      </c>
      <c r="R6" s="87" t="s">
        <v>112</v>
      </c>
      <c r="S6" s="88" t="s">
        <v>73</v>
      </c>
      <c r="T6" s="87"/>
      <c r="U6" s="88"/>
      <c r="V6" s="88"/>
      <c r="W6" s="88"/>
      <c r="X6" s="18">
        <v>20200202</v>
      </c>
    </row>
    <row r="7" spans="1:24" x14ac:dyDescent="0.2">
      <c r="A7" s="82" t="s">
        <v>74</v>
      </c>
      <c r="B7" s="82" t="s">
        <v>75</v>
      </c>
      <c r="C7" s="47" t="s">
        <v>71</v>
      </c>
      <c r="D7" s="47" t="s">
        <v>93</v>
      </c>
      <c r="E7" s="47" t="s">
        <v>72</v>
      </c>
      <c r="F7" s="87">
        <v>0.05</v>
      </c>
      <c r="G7" s="22" t="s">
        <v>73</v>
      </c>
      <c r="H7" s="87">
        <v>0.14000000000000001</v>
      </c>
      <c r="I7" s="22" t="s">
        <v>76</v>
      </c>
      <c r="J7" s="87">
        <v>1.01</v>
      </c>
      <c r="K7" s="22" t="s">
        <v>123</v>
      </c>
      <c r="L7" s="87">
        <v>3.2</v>
      </c>
      <c r="M7" s="22" t="s">
        <v>123</v>
      </c>
      <c r="N7" s="87">
        <v>0.09</v>
      </c>
      <c r="O7" s="22" t="s">
        <v>123</v>
      </c>
      <c r="P7" s="87">
        <v>0.85</v>
      </c>
      <c r="Q7" s="88" t="s">
        <v>123</v>
      </c>
      <c r="R7" s="87"/>
      <c r="S7" s="88"/>
      <c r="T7" s="87"/>
      <c r="U7" s="88"/>
      <c r="V7" s="88"/>
      <c r="W7" s="88"/>
      <c r="X7" s="18">
        <v>20200401</v>
      </c>
    </row>
    <row r="8" spans="1:24" x14ac:dyDescent="0.2">
      <c r="A8" s="82" t="s">
        <v>69</v>
      </c>
      <c r="B8" s="82" t="s">
        <v>70</v>
      </c>
      <c r="C8" s="47" t="s">
        <v>71</v>
      </c>
      <c r="D8" s="47" t="s">
        <v>93</v>
      </c>
      <c r="E8" s="47" t="s">
        <v>72</v>
      </c>
      <c r="F8" s="87">
        <v>0.31</v>
      </c>
      <c r="G8" s="22" t="s">
        <v>73</v>
      </c>
      <c r="H8" s="87">
        <v>0.31</v>
      </c>
      <c r="I8" s="22" t="s">
        <v>122</v>
      </c>
      <c r="J8" s="87">
        <v>0.28999999999999998</v>
      </c>
      <c r="K8" s="22" t="s">
        <v>122</v>
      </c>
      <c r="L8" s="87">
        <v>4.41</v>
      </c>
      <c r="M8" s="22" t="s">
        <v>122</v>
      </c>
      <c r="N8" s="87">
        <v>0.35</v>
      </c>
      <c r="O8" s="102" t="s">
        <v>122</v>
      </c>
      <c r="P8" s="87">
        <v>0.95</v>
      </c>
      <c r="Q8" s="88" t="s">
        <v>122</v>
      </c>
      <c r="R8" s="87"/>
      <c r="S8" s="88"/>
      <c r="T8" s="87"/>
      <c r="U8" s="88"/>
      <c r="V8" s="88"/>
      <c r="W8" s="88"/>
      <c r="X8" s="18">
        <v>20200102</v>
      </c>
    </row>
    <row r="9" spans="1:24" x14ac:dyDescent="0.2">
      <c r="A9" s="82"/>
      <c r="B9" s="82"/>
      <c r="C9" s="82"/>
      <c r="D9" s="82"/>
      <c r="E9" s="8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88"/>
      <c r="R9" s="88"/>
      <c r="S9" s="88"/>
      <c r="T9" s="88"/>
      <c r="U9" s="88"/>
      <c r="V9" s="88"/>
      <c r="W9" s="88"/>
    </row>
    <row r="10" spans="1:24" x14ac:dyDescent="0.2">
      <c r="A10" s="82"/>
      <c r="B10" s="82"/>
      <c r="C10" s="82"/>
      <c r="D10" s="82"/>
      <c r="E10" s="8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88"/>
      <c r="R10" s="88"/>
      <c r="S10" s="88"/>
      <c r="T10" s="88"/>
      <c r="U10" s="88"/>
      <c r="V10" s="88"/>
      <c r="W10" s="88"/>
    </row>
    <row r="11" spans="1:24" x14ac:dyDescent="0.2">
      <c r="A11" s="82"/>
      <c r="B11" s="82"/>
      <c r="C11" s="82"/>
      <c r="D11" s="82"/>
      <c r="E11" s="8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8"/>
      <c r="R11" s="88"/>
      <c r="S11" s="88"/>
      <c r="T11" s="88"/>
      <c r="U11" s="88"/>
      <c r="V11" s="88"/>
      <c r="W11" s="88"/>
    </row>
    <row r="12" spans="1:24" x14ac:dyDescent="0.2">
      <c r="A12" s="82"/>
      <c r="B12" s="82"/>
      <c r="C12" s="82"/>
      <c r="D12" s="82"/>
      <c r="E12" s="8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8"/>
      <c r="R12" s="88"/>
      <c r="S12" s="88"/>
      <c r="T12" s="88"/>
      <c r="U12" s="88"/>
      <c r="V12" s="88"/>
      <c r="W12" s="88"/>
    </row>
    <row r="13" spans="1:24" x14ac:dyDescent="0.2">
      <c r="A13" s="82"/>
      <c r="B13" s="82"/>
      <c r="C13" s="82"/>
      <c r="D13" s="82"/>
      <c r="E13" s="8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88"/>
      <c r="R13" s="88"/>
      <c r="S13" s="88"/>
      <c r="T13" s="88"/>
      <c r="U13" s="88"/>
      <c r="V13" s="88"/>
      <c r="W13" s="88"/>
    </row>
    <row r="14" spans="1:24" x14ac:dyDescent="0.2">
      <c r="A14" s="82"/>
      <c r="B14" s="82"/>
      <c r="C14" s="82"/>
      <c r="D14" s="82"/>
      <c r="E14" s="8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88"/>
      <c r="R14" s="88"/>
      <c r="S14" s="88"/>
      <c r="T14" s="88"/>
      <c r="U14" s="88"/>
      <c r="V14" s="88"/>
      <c r="W14" s="88"/>
    </row>
    <row r="15" spans="1:24" x14ac:dyDescent="0.2">
      <c r="A15" s="82"/>
      <c r="B15" s="82"/>
      <c r="C15" s="82"/>
      <c r="D15" s="82"/>
      <c r="E15" s="8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88"/>
      <c r="R15" s="88"/>
      <c r="S15" s="88"/>
      <c r="T15" s="88"/>
      <c r="U15" s="88"/>
      <c r="V15" s="88"/>
      <c r="W15" s="88"/>
    </row>
    <row r="16" spans="1:24" x14ac:dyDescent="0.2">
      <c r="A16" s="82"/>
      <c r="B16" s="82"/>
      <c r="C16" s="82"/>
      <c r="D16" s="82"/>
      <c r="E16" s="8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88"/>
      <c r="R16" s="88"/>
      <c r="S16" s="88"/>
      <c r="T16" s="88"/>
      <c r="U16" s="88"/>
      <c r="V16" s="88"/>
      <c r="W16" s="88"/>
    </row>
    <row r="17" spans="1:23" x14ac:dyDescent="0.2">
      <c r="A17" s="82"/>
      <c r="B17" s="82"/>
      <c r="C17" s="82"/>
      <c r="D17" s="82"/>
      <c r="E17" s="8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8"/>
      <c r="R17" s="88"/>
      <c r="S17" s="88"/>
      <c r="T17" s="88"/>
      <c r="U17" s="88"/>
      <c r="V17" s="88"/>
      <c r="W17" s="88"/>
    </row>
    <row r="18" spans="1:23" x14ac:dyDescent="0.2">
      <c r="A18" s="82"/>
      <c r="B18" s="82"/>
      <c r="C18" s="82"/>
      <c r="D18" s="82"/>
      <c r="E18" s="8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88"/>
      <c r="R18" s="88"/>
      <c r="S18" s="88"/>
      <c r="T18" s="88"/>
      <c r="U18" s="88"/>
      <c r="V18" s="88"/>
      <c r="W18" s="88"/>
    </row>
    <row r="19" spans="1:23" x14ac:dyDescent="0.2">
      <c r="A19" s="82"/>
      <c r="B19" s="82"/>
      <c r="C19" s="82"/>
      <c r="D19" s="82"/>
      <c r="E19" s="8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88"/>
      <c r="R19" s="88"/>
      <c r="S19" s="88"/>
      <c r="T19" s="88"/>
      <c r="U19" s="88"/>
      <c r="V19" s="88"/>
      <c r="W19" s="88"/>
    </row>
    <row r="20" spans="1:23" x14ac:dyDescent="0.2">
      <c r="A20" s="82"/>
      <c r="B20" s="82"/>
      <c r="C20" s="82"/>
      <c r="D20" s="82"/>
      <c r="E20" s="8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88"/>
      <c r="R20" s="88"/>
      <c r="S20" s="88"/>
      <c r="T20" s="88"/>
      <c r="U20" s="88"/>
      <c r="V20" s="88"/>
      <c r="W20" s="88"/>
    </row>
    <row r="21" spans="1:23" x14ac:dyDescent="0.2">
      <c r="A21" s="89"/>
      <c r="B21" s="89"/>
      <c r="C21" s="89"/>
      <c r="D21" s="89"/>
      <c r="E21" s="8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88"/>
      <c r="R21" s="88"/>
      <c r="S21" s="88"/>
      <c r="T21" s="88"/>
      <c r="U21" s="88"/>
      <c r="V21" s="88"/>
      <c r="W21" s="88"/>
    </row>
    <row r="22" spans="1:23" x14ac:dyDescent="0.2">
      <c r="A22" s="82"/>
      <c r="B22" s="82"/>
      <c r="C22" s="82"/>
      <c r="D22" s="82"/>
      <c r="E22" s="8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88"/>
      <c r="R22" s="88"/>
      <c r="S22" s="88"/>
      <c r="T22" s="88"/>
      <c r="U22" s="88"/>
      <c r="V22" s="88"/>
      <c r="W22" s="88"/>
    </row>
    <row r="23" spans="1:23" x14ac:dyDescent="0.2">
      <c r="A23" s="89"/>
      <c r="B23" s="89"/>
      <c r="C23" s="89"/>
      <c r="D23" s="89"/>
      <c r="E23" s="8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88"/>
      <c r="R23" s="88"/>
      <c r="S23" s="88"/>
      <c r="T23" s="88"/>
      <c r="U23" s="88"/>
      <c r="V23" s="88"/>
      <c r="W23" s="88"/>
    </row>
    <row r="24" spans="1:23" x14ac:dyDescent="0.2">
      <c r="A24" s="89"/>
      <c r="B24" s="89"/>
      <c r="C24" s="89"/>
      <c r="D24" s="89"/>
      <c r="E24" s="8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88"/>
      <c r="R24" s="88"/>
      <c r="S24" s="88"/>
      <c r="T24" s="88"/>
      <c r="U24" s="88"/>
      <c r="V24" s="88"/>
      <c r="W24" s="88"/>
    </row>
    <row r="25" spans="1:23" x14ac:dyDescent="0.2">
      <c r="A25" s="89"/>
      <c r="B25" s="89"/>
      <c r="C25" s="89"/>
      <c r="D25" s="89"/>
      <c r="E25" s="8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88"/>
      <c r="R25" s="88"/>
      <c r="S25" s="88"/>
      <c r="T25" s="88"/>
      <c r="U25" s="88"/>
      <c r="V25" s="88"/>
      <c r="W25" s="88"/>
    </row>
    <row r="26" spans="1:23" x14ac:dyDescent="0.2">
      <c r="A26" s="89"/>
      <c r="B26" s="89"/>
      <c r="C26" s="89"/>
      <c r="D26" s="89"/>
      <c r="E26" s="8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88"/>
      <c r="R26" s="88"/>
      <c r="S26" s="88"/>
      <c r="T26" s="88"/>
      <c r="U26" s="88"/>
      <c r="V26" s="88"/>
      <c r="W26" s="88"/>
    </row>
    <row r="27" spans="1:23" x14ac:dyDescent="0.2">
      <c r="A27" s="89"/>
      <c r="B27" s="89"/>
      <c r="C27" s="89"/>
      <c r="D27" s="89"/>
      <c r="E27" s="89"/>
      <c r="Q27" s="90"/>
      <c r="R27" s="90"/>
      <c r="S27" s="90"/>
      <c r="T27" s="90"/>
      <c r="U27" s="90"/>
      <c r="V27" s="90"/>
      <c r="W27" s="90"/>
    </row>
    <row r="28" spans="1:23" x14ac:dyDescent="0.2">
      <c r="A28" s="89"/>
      <c r="B28" s="89"/>
      <c r="C28" s="89"/>
      <c r="D28" s="89"/>
      <c r="E28" s="89"/>
      <c r="Q28" s="90"/>
      <c r="R28" s="90"/>
      <c r="S28" s="90"/>
      <c r="T28" s="90"/>
      <c r="U28" s="90"/>
      <c r="V28" s="90"/>
      <c r="W28" s="90"/>
    </row>
    <row r="29" spans="1:23" x14ac:dyDescent="0.2">
      <c r="A29" s="89"/>
      <c r="B29" s="89"/>
      <c r="C29" s="89"/>
      <c r="D29" s="89"/>
      <c r="E29" s="89"/>
      <c r="Q29" s="90"/>
      <c r="R29" s="90"/>
      <c r="S29" s="90"/>
      <c r="T29" s="90"/>
      <c r="U29" s="90"/>
      <c r="V29" s="90"/>
      <c r="W29" s="90"/>
    </row>
    <row r="30" spans="1:23" x14ac:dyDescent="0.2">
      <c r="A30" s="89"/>
      <c r="B30" s="89"/>
      <c r="C30" s="89"/>
      <c r="D30" s="89"/>
      <c r="E30" s="89"/>
      <c r="Q30" s="90"/>
      <c r="R30" s="90"/>
      <c r="S30" s="90"/>
      <c r="T30" s="90"/>
      <c r="U30" s="90"/>
      <c r="V30" s="90"/>
      <c r="W30" s="90"/>
    </row>
    <row r="31" spans="1:23" x14ac:dyDescent="0.2">
      <c r="A31" s="89"/>
      <c r="B31" s="89"/>
      <c r="C31" s="89"/>
      <c r="D31" s="89"/>
      <c r="E31" s="89"/>
      <c r="Q31" s="90"/>
      <c r="R31" s="90"/>
      <c r="S31" s="90"/>
      <c r="T31" s="90"/>
      <c r="U31" s="90"/>
      <c r="V31" s="90"/>
      <c r="W31" s="90"/>
    </row>
    <row r="32" spans="1:23" x14ac:dyDescent="0.2">
      <c r="A32" s="89"/>
      <c r="B32" s="89"/>
      <c r="C32" s="89"/>
      <c r="D32" s="89"/>
      <c r="E32" s="89"/>
      <c r="Q32" s="90"/>
      <c r="R32" s="90"/>
      <c r="S32" s="90"/>
      <c r="T32" s="90"/>
      <c r="U32" s="90"/>
      <c r="V32" s="90"/>
      <c r="W32" s="90"/>
    </row>
    <row r="33" spans="1:23" x14ac:dyDescent="0.2">
      <c r="A33" s="89"/>
      <c r="B33" s="89"/>
      <c r="C33" s="89"/>
      <c r="D33" s="89"/>
      <c r="E33" s="89"/>
      <c r="Q33" s="90"/>
      <c r="R33" s="90"/>
      <c r="S33" s="90"/>
      <c r="T33" s="90"/>
      <c r="U33" s="90"/>
      <c r="V33" s="90"/>
      <c r="W33" s="90"/>
    </row>
    <row r="34" spans="1:23" x14ac:dyDescent="0.2">
      <c r="A34" s="89"/>
      <c r="B34" s="89"/>
      <c r="C34" s="89"/>
      <c r="D34" s="89"/>
      <c r="E34" s="89"/>
      <c r="Q34" s="90"/>
      <c r="R34" s="90"/>
      <c r="S34" s="90"/>
      <c r="T34" s="90"/>
      <c r="U34" s="90"/>
      <c r="V34" s="90"/>
      <c r="W34" s="90"/>
    </row>
    <row r="35" spans="1:23" x14ac:dyDescent="0.2">
      <c r="A35" s="89"/>
      <c r="B35" s="89"/>
      <c r="C35" s="89"/>
      <c r="D35" s="89"/>
      <c r="E35" s="89"/>
      <c r="Q35" s="90"/>
      <c r="R35" s="90"/>
      <c r="S35" s="90"/>
      <c r="T35" s="90"/>
      <c r="U35" s="90"/>
      <c r="V35" s="90"/>
      <c r="W35" s="90"/>
    </row>
    <row r="36" spans="1:23" x14ac:dyDescent="0.2">
      <c r="A36" s="89"/>
      <c r="B36" s="89"/>
      <c r="C36" s="89"/>
      <c r="D36" s="89"/>
      <c r="E36" s="89"/>
      <c r="Q36" s="90"/>
      <c r="R36" s="90"/>
      <c r="S36" s="90"/>
      <c r="T36" s="90"/>
      <c r="U36" s="90"/>
      <c r="V36" s="90"/>
      <c r="W36" s="90"/>
    </row>
    <row r="37" spans="1:23" x14ac:dyDescent="0.2">
      <c r="A37" s="89"/>
      <c r="B37" s="89"/>
      <c r="C37" s="89"/>
      <c r="D37" s="89"/>
      <c r="E37" s="89"/>
      <c r="Q37" s="90"/>
      <c r="R37" s="90"/>
      <c r="S37" s="90"/>
      <c r="T37" s="90"/>
      <c r="U37" s="90"/>
      <c r="V37" s="90"/>
      <c r="W37" s="90"/>
    </row>
    <row r="38" spans="1:23" x14ac:dyDescent="0.2">
      <c r="A38" s="89"/>
      <c r="B38" s="89"/>
      <c r="C38" s="89"/>
      <c r="D38" s="89"/>
      <c r="E38" s="89"/>
      <c r="Q38" s="90"/>
      <c r="R38" s="90"/>
      <c r="S38" s="90"/>
      <c r="T38" s="90"/>
      <c r="U38" s="90"/>
      <c r="V38" s="90"/>
      <c r="W38" s="90"/>
    </row>
    <row r="39" spans="1:23" x14ac:dyDescent="0.2">
      <c r="A39" s="89"/>
      <c r="B39" s="89"/>
      <c r="C39" s="89"/>
      <c r="D39" s="89"/>
      <c r="E39" s="89"/>
      <c r="Q39" s="90"/>
      <c r="R39" s="90"/>
      <c r="S39" s="90"/>
      <c r="T39" s="90"/>
      <c r="U39" s="90"/>
      <c r="V39" s="90"/>
      <c r="W39" s="90"/>
    </row>
    <row r="40" spans="1:23" x14ac:dyDescent="0.2">
      <c r="A40" s="89"/>
      <c r="B40" s="89"/>
      <c r="C40" s="89"/>
      <c r="D40" s="89"/>
      <c r="E40" s="89"/>
      <c r="Q40" s="90"/>
      <c r="R40" s="90"/>
      <c r="S40" s="90"/>
      <c r="T40" s="90"/>
      <c r="U40" s="90"/>
      <c r="V40" s="90"/>
      <c r="W40" s="90"/>
    </row>
    <row r="41" spans="1:23" x14ac:dyDescent="0.2">
      <c r="A41" s="89"/>
      <c r="B41" s="89"/>
      <c r="C41" s="89"/>
      <c r="D41" s="89"/>
      <c r="E41" s="89"/>
      <c r="Q41" s="90"/>
      <c r="R41" s="90"/>
      <c r="S41" s="90"/>
      <c r="T41" s="90"/>
      <c r="U41" s="90"/>
      <c r="V41" s="90"/>
      <c r="W41" s="90"/>
    </row>
    <row r="42" spans="1:23" s="73" customFormat="1" x14ac:dyDescent="0.2">
      <c r="A42" s="47"/>
      <c r="B42" s="47"/>
      <c r="C42" s="47"/>
      <c r="D42" s="47"/>
      <c r="E42" s="47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sheetProtection password="C20E" sheet="1" objects="1" scenarios="1"/>
  <phoneticPr fontId="5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Combustion</vt:lpstr>
      <vt:lpstr>Permit Limits</vt:lpstr>
      <vt:lpstr>INV-3</vt:lpstr>
      <vt:lpstr>INV-4</vt:lpstr>
      <vt:lpstr>Emission Factors</vt:lpstr>
      <vt:lpstr>'INV-4'!Print_Area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2011-02-02T17:31:10Z</cp:lastPrinted>
  <dcterms:created xsi:type="dcterms:W3CDTF">1999-10-20T15:39:50Z</dcterms:created>
  <dcterms:modified xsi:type="dcterms:W3CDTF">2018-10-10T18:29:54Z</dcterms:modified>
</cp:coreProperties>
</file>